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4.xml" ContentType="application/vnd.openxmlformats-officedocument.spreadsheetml.queryTable+xml"/>
  <Override PartName="/xl/tables/table8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queryTables/queryTable5.xml" ContentType="application/vnd.openxmlformats-officedocument.spreadsheetml.queryTable+xml"/>
  <Override PartName="/xl/tables/table10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queryTables/queryTable6.xml" ContentType="application/vnd.openxmlformats-officedocument.spreadsheetml.queryTable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queryTables/queryTable7.xml" ContentType="application/vnd.openxmlformats-officedocument.spreadsheetml.queryTable+xml"/>
  <Override PartName="/xl/tables/table14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tables/table15.xml" ContentType="application/vnd.openxmlformats-officedocument.spreadsheetml.table+xml"/>
  <Override PartName="/xl/queryTables/queryTable8.xml" ContentType="application/vnd.openxmlformats-officedocument.spreadsheetml.queryTable+xml"/>
  <Override PartName="/xl/tables/table16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queryTables/queryTable9.xml" ContentType="application/vnd.openxmlformats-officedocument.spreadsheetml.queryTable+xml"/>
  <Override PartName="/xl/tables/table18.xml" ContentType="application/vnd.openxmlformats-officedocument.spreadsheetml.tab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viedo.sharepoint.com/sites/GICONSIME/Documentos compartidos/ARTICULOS/00_ARTICULOS-DE-GICONSIME_PREVIOS/2024-11_PCM_Areas/data/"/>
    </mc:Choice>
  </mc:AlternateContent>
  <xr:revisionPtr revIDLastSave="3352" documentId="11_AD4D2F04E46CFB4ACB3E20B5BD16FCAA693EDF21" xr6:coauthVersionLast="47" xr6:coauthVersionMax="47" xr10:uidLastSave="{6B6E670F-0CB6-4AF4-9DE7-9949F7D26E17}"/>
  <bookViews>
    <workbookView xWindow="28695" yWindow="0" windowWidth="14610" windowHeight="15585" firstSheet="11" activeTab="12" xr2:uid="{00000000-000D-0000-FFFF-FFFF00000000}"/>
  </bookViews>
  <sheets>
    <sheet name="Experimental data - 1 ºCh" sheetId="43" r:id="rId1"/>
    <sheet name="Experimental data - 0.5 ºCh" sheetId="44" r:id="rId2"/>
    <sheet name="Phase change delimitation" sheetId="42" r:id="rId3"/>
    <sheet name="Trial 1 (dataset 1)" sheetId="22" r:id="rId4"/>
    <sheet name="Trial 2 (dataset 1)" sheetId="23" r:id="rId5"/>
    <sheet name="Trial 3 (dataset 1)" sheetId="24" r:id="rId6"/>
    <sheet name="Effect m and L" sheetId="33" r:id="rId7"/>
    <sheet name="All Data (dataset 2)" sheetId="34" r:id="rId8"/>
    <sheet name="Solidification (dataset 3)" sheetId="35" r:id="rId9"/>
    <sheet name="Melting (dataset 4)" sheetId="36" r:id="rId10"/>
    <sheet name="1 ºCh (dataset 5)" sheetId="37" r:id="rId11"/>
    <sheet name="0.5 ºCh (dataset 6)" sheetId="38" r:id="rId12"/>
    <sheet name="Latent heat prediction" sheetId="40" r:id="rId13"/>
  </sheets>
  <externalReferences>
    <externalReference r:id="rId14"/>
    <externalReference r:id="rId15"/>
  </externalReferences>
  <definedNames>
    <definedName name="AC_h">#REF!</definedName>
    <definedName name="AC_l">#REF!</definedName>
    <definedName name="Cp_L">#REF!</definedName>
    <definedName name="Cp_S">#REF!</definedName>
    <definedName name="DatosExternos_1" localSheetId="11" hidden="1">'0.5 ºCh (dataset 6)'!$A$21:$H$51</definedName>
    <definedName name="DatosExternos_1" localSheetId="10" hidden="1">'1 ºCh (dataset 5)'!$A$21:$H$51</definedName>
    <definedName name="DatosExternos_1" localSheetId="7" hidden="1">'All Data (dataset 2)'!$A$21:$H$81</definedName>
    <definedName name="DatosExternos_1" localSheetId="6" hidden="1">'Effect m and L'!$A$22:$H$82</definedName>
    <definedName name="DatosExternos_1" localSheetId="9" hidden="1">'Melting (dataset 4)'!$A$21:$H$51</definedName>
    <definedName name="DatosExternos_1" localSheetId="8" hidden="1">'Solidification (dataset 3)'!$A$21:$H$51</definedName>
    <definedName name="DatosExternos_1" localSheetId="3" hidden="1">'Trial 1 (dataset 1)'!$A$21:$H$57</definedName>
    <definedName name="DatosExternos_1" localSheetId="4" hidden="1">'Trial 2 (dataset 1)'!$A$21:$H$57</definedName>
    <definedName name="DatosExternos_1" localSheetId="5" hidden="1">'Trial 3 (dataset 1)'!$A$21:$H$57</definedName>
    <definedName name="m_PCM_10" localSheetId="12">'Latent heat prediction'!$C$3</definedName>
    <definedName name="m_PCM_10">#REF!</definedName>
    <definedName name="m_PCM_15" localSheetId="12">'Latent heat prediction'!$C$4</definedName>
    <definedName name="m_PCM_15">#REF!</definedName>
    <definedName name="n_T" localSheetId="11">'0.5 ºCh (dataset 6)'!$D$5</definedName>
    <definedName name="n_T" localSheetId="10">'1 ºCh (dataset 5)'!$D$5</definedName>
    <definedName name="n_T" localSheetId="7">'All Data (dataset 2)'!$D$5</definedName>
    <definedName name="n_T" localSheetId="6">'Effect m and L'!$D$5</definedName>
    <definedName name="n_T" localSheetId="9">'Melting (dataset 4)'!$D$5</definedName>
    <definedName name="n_T" localSheetId="2">#REF!</definedName>
    <definedName name="n_T" localSheetId="8">'Solidification (dataset 3)'!$D$5</definedName>
    <definedName name="n_T" localSheetId="3">'Trial 1 (dataset 1)'!$D$5</definedName>
    <definedName name="n_T" localSheetId="4">'Trial 2 (dataset 1)'!$D$5</definedName>
    <definedName name="n_T" localSheetId="5">'Trial 3 (dataset 1)'!$D$5</definedName>
    <definedName name="n_T">#REF!</definedName>
    <definedName name="o_l">#REF!</definedName>
    <definedName name="o_L_h">#REF!</definedName>
    <definedName name="o_S_h">#REF!</definedName>
    <definedName name="S_PCM" localSheetId="12">'Latent heat prediction'!$C$2</definedName>
    <definedName name="S_PCM">#REF!</definedName>
    <definedName name="T_p_h">#REF!</definedName>
    <definedName name="T_p_l">#REF!</definedName>
    <definedName name="T_sw">#REF!</definedName>
    <definedName name="Training" localSheetId="11">'0.5 ºCh (dataset 6)'!$C$5</definedName>
    <definedName name="Training" localSheetId="10">'1 ºCh (dataset 5)'!$C$5</definedName>
    <definedName name="Training" localSheetId="7">'All Data (dataset 2)'!$C$5</definedName>
    <definedName name="Training" localSheetId="6">'Effect m and L'!$C$5</definedName>
    <definedName name="Training" localSheetId="9">'Melting (dataset 4)'!$C$5</definedName>
    <definedName name="Training" localSheetId="2">#REF!</definedName>
    <definedName name="Training" localSheetId="8">'Solidification (dataset 3)'!$C$5</definedName>
    <definedName name="Training" localSheetId="3">'Trial 1 (dataset 1)'!$C$5</definedName>
    <definedName name="Training" localSheetId="4">'Trial 2 (dataset 1)'!$C$5</definedName>
    <definedName name="Training" localSheetId="5">'Trial 3 (dataset 1)'!$C$5</definedName>
    <definedName name="Training">#REF!</definedName>
    <definedName name="Validation" localSheetId="11">'0.5 ºCh (dataset 6)'!$C$6</definedName>
    <definedName name="Validation" localSheetId="10">'1 ºCh (dataset 5)'!$C$6</definedName>
    <definedName name="Validation" localSheetId="7">'All Data (dataset 2)'!$C$6</definedName>
    <definedName name="Validation" localSheetId="6">'Effect m and L'!$C$6</definedName>
    <definedName name="Validation" localSheetId="9">'Melting (dataset 4)'!$C$6</definedName>
    <definedName name="Validation" localSheetId="2">#REF!</definedName>
    <definedName name="Validation" localSheetId="8">'Solidification (dataset 3)'!$C$6</definedName>
    <definedName name="Validation" localSheetId="3">'Trial 1 (dataset 1)'!$C$6</definedName>
    <definedName name="Validation" localSheetId="4">'Trial 2 (dataset 1)'!$C$6</definedName>
    <definedName name="Validation" localSheetId="5">'Trial 3 (dataset 1)'!$C$6</definedName>
    <definedName name="Validation">#REF!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40" l="1"/>
  <c r="I48" i="40"/>
  <c r="I47" i="40"/>
  <c r="I46" i="40"/>
  <c r="I45" i="40"/>
  <c r="I44" i="40"/>
  <c r="I43" i="40"/>
  <c r="I42" i="40"/>
  <c r="I41" i="40"/>
  <c r="I40" i="40"/>
  <c r="I39" i="40"/>
  <c r="I38" i="40"/>
  <c r="I37" i="40"/>
  <c r="K37" i="40" s="1"/>
  <c r="I36" i="40"/>
  <c r="I35" i="40"/>
  <c r="I34" i="40"/>
  <c r="I33" i="40"/>
  <c r="I32" i="40"/>
  <c r="I31" i="40"/>
  <c r="I30" i="40"/>
  <c r="I29" i="40"/>
  <c r="I28" i="40"/>
  <c r="J27" i="40"/>
  <c r="I27" i="40"/>
  <c r="I26" i="40"/>
  <c r="T25" i="40"/>
  <c r="I25" i="40"/>
  <c r="T24" i="40"/>
  <c r="I24" i="40"/>
  <c r="T23" i="40"/>
  <c r="I23" i="40"/>
  <c r="T22" i="40"/>
  <c r="I22" i="40"/>
  <c r="T21" i="40"/>
  <c r="I21" i="40"/>
  <c r="T20" i="40"/>
  <c r="I20" i="40"/>
  <c r="T19" i="40"/>
  <c r="I19" i="40"/>
  <c r="T18" i="40"/>
  <c r="I18" i="40"/>
  <c r="T17" i="40"/>
  <c r="J17" i="40"/>
  <c r="I17" i="40"/>
  <c r="U16" i="40"/>
  <c r="T16" i="40"/>
  <c r="V16" i="40" s="1"/>
  <c r="W16" i="40" s="1"/>
  <c r="I16" i="40"/>
  <c r="T15" i="40"/>
  <c r="I15" i="40"/>
  <c r="T14" i="40"/>
  <c r="I14" i="40"/>
  <c r="T13" i="40"/>
  <c r="I13" i="40"/>
  <c r="T12" i="40"/>
  <c r="I12" i="40"/>
  <c r="T11" i="40"/>
  <c r="I11" i="40"/>
  <c r="T10" i="40"/>
  <c r="I10" i="40"/>
  <c r="T9" i="40"/>
  <c r="J9" i="40"/>
  <c r="I9" i="40"/>
  <c r="K9" i="40" s="1"/>
  <c r="AD8" i="40"/>
  <c r="AC8" i="40"/>
  <c r="AB8" i="40"/>
  <c r="AA8" i="40"/>
  <c r="Z8" i="40"/>
  <c r="T8" i="40"/>
  <c r="I8" i="40"/>
  <c r="AD7" i="40"/>
  <c r="AC7" i="40"/>
  <c r="AB7" i="40"/>
  <c r="AA7" i="40"/>
  <c r="C2" i="40"/>
  <c r="J24" i="40" s="1"/>
  <c r="O51" i="38"/>
  <c r="J51" i="38"/>
  <c r="O50" i="38"/>
  <c r="J50" i="38"/>
  <c r="O49" i="38"/>
  <c r="J49" i="38"/>
  <c r="O48" i="38"/>
  <c r="J48" i="38"/>
  <c r="O47" i="38"/>
  <c r="J47" i="38"/>
  <c r="O46" i="38"/>
  <c r="J46" i="38"/>
  <c r="O45" i="38"/>
  <c r="J45" i="38"/>
  <c r="O44" i="38"/>
  <c r="J44" i="38"/>
  <c r="O43" i="38"/>
  <c r="J43" i="38"/>
  <c r="O42" i="38"/>
  <c r="J42" i="38"/>
  <c r="O41" i="38"/>
  <c r="J41" i="38"/>
  <c r="O40" i="38"/>
  <c r="J40" i="38"/>
  <c r="O39" i="38"/>
  <c r="J39" i="38"/>
  <c r="O38" i="38"/>
  <c r="J38" i="38"/>
  <c r="O37" i="38"/>
  <c r="J37" i="38"/>
  <c r="O36" i="38"/>
  <c r="J36" i="38"/>
  <c r="O35" i="38"/>
  <c r="J35" i="38"/>
  <c r="O34" i="38"/>
  <c r="J34" i="38"/>
  <c r="O33" i="38"/>
  <c r="J33" i="38"/>
  <c r="O32" i="38"/>
  <c r="J32" i="38"/>
  <c r="O31" i="38"/>
  <c r="J31" i="38"/>
  <c r="O30" i="38"/>
  <c r="J30" i="38"/>
  <c r="O29" i="38"/>
  <c r="J29" i="38"/>
  <c r="O28" i="38"/>
  <c r="J28" i="38"/>
  <c r="O27" i="38"/>
  <c r="J27" i="38"/>
  <c r="O26" i="38"/>
  <c r="J26" i="38"/>
  <c r="O25" i="38"/>
  <c r="J25" i="38"/>
  <c r="O24" i="38"/>
  <c r="J24" i="38"/>
  <c r="O23" i="38"/>
  <c r="J23" i="38"/>
  <c r="O22" i="38"/>
  <c r="J22" i="38"/>
  <c r="T18" i="38"/>
  <c r="S18" i="38"/>
  <c r="R18" i="38"/>
  <c r="Q18" i="38"/>
  <c r="P18" i="38"/>
  <c r="D7" i="38"/>
  <c r="D5" i="38" s="1"/>
  <c r="C6" i="38"/>
  <c r="O51" i="37"/>
  <c r="J51" i="37"/>
  <c r="O50" i="37"/>
  <c r="J50" i="37"/>
  <c r="O49" i="37"/>
  <c r="J49" i="37"/>
  <c r="O48" i="37"/>
  <c r="J48" i="37"/>
  <c r="O47" i="37"/>
  <c r="J47" i="37"/>
  <c r="O46" i="37"/>
  <c r="J46" i="37"/>
  <c r="O45" i="37"/>
  <c r="J45" i="37"/>
  <c r="O44" i="37"/>
  <c r="J44" i="37"/>
  <c r="O43" i="37"/>
  <c r="J43" i="37"/>
  <c r="O42" i="37"/>
  <c r="J42" i="37"/>
  <c r="O41" i="37"/>
  <c r="J41" i="37"/>
  <c r="O40" i="37"/>
  <c r="J40" i="37"/>
  <c r="O39" i="37"/>
  <c r="J39" i="37"/>
  <c r="O38" i="37"/>
  <c r="J38" i="37"/>
  <c r="O37" i="37"/>
  <c r="J37" i="37"/>
  <c r="O36" i="37"/>
  <c r="J36" i="37"/>
  <c r="O35" i="37"/>
  <c r="J35" i="37"/>
  <c r="O34" i="37"/>
  <c r="J34" i="37"/>
  <c r="O33" i="37"/>
  <c r="J33" i="37"/>
  <c r="O32" i="37"/>
  <c r="J32" i="37"/>
  <c r="O31" i="37"/>
  <c r="J31" i="37"/>
  <c r="O30" i="37"/>
  <c r="J30" i="37"/>
  <c r="O29" i="37"/>
  <c r="J29" i="37"/>
  <c r="O28" i="37"/>
  <c r="J28" i="37"/>
  <c r="O27" i="37"/>
  <c r="J27" i="37"/>
  <c r="O26" i="37"/>
  <c r="J26" i="37"/>
  <c r="O25" i="37"/>
  <c r="J25" i="37"/>
  <c r="O24" i="37"/>
  <c r="J24" i="37"/>
  <c r="O23" i="37"/>
  <c r="J23" i="37"/>
  <c r="O22" i="37"/>
  <c r="J22" i="37"/>
  <c r="T18" i="37"/>
  <c r="S18" i="37"/>
  <c r="R18" i="37"/>
  <c r="Q18" i="37"/>
  <c r="P18" i="37"/>
  <c r="D7" i="37"/>
  <c r="D5" i="37" s="1"/>
  <c r="C6" i="37"/>
  <c r="O51" i="36"/>
  <c r="J51" i="36"/>
  <c r="O50" i="36"/>
  <c r="J50" i="36"/>
  <c r="O49" i="36"/>
  <c r="J49" i="36"/>
  <c r="O48" i="36"/>
  <c r="J48" i="36"/>
  <c r="O47" i="36"/>
  <c r="J47" i="36"/>
  <c r="O46" i="36"/>
  <c r="J46" i="36"/>
  <c r="O45" i="36"/>
  <c r="J45" i="36"/>
  <c r="O44" i="36"/>
  <c r="J44" i="36"/>
  <c r="O43" i="36"/>
  <c r="J43" i="36"/>
  <c r="O42" i="36"/>
  <c r="J42" i="36"/>
  <c r="O41" i="36"/>
  <c r="J41" i="36"/>
  <c r="O40" i="36"/>
  <c r="J40" i="36"/>
  <c r="O39" i="36"/>
  <c r="J39" i="36"/>
  <c r="O38" i="36"/>
  <c r="J38" i="36"/>
  <c r="O37" i="36"/>
  <c r="J37" i="36"/>
  <c r="O36" i="36"/>
  <c r="J36" i="36"/>
  <c r="O35" i="36"/>
  <c r="J35" i="36"/>
  <c r="O34" i="36"/>
  <c r="J34" i="36"/>
  <c r="O33" i="36"/>
  <c r="J33" i="36"/>
  <c r="O32" i="36"/>
  <c r="J32" i="36"/>
  <c r="O31" i="36"/>
  <c r="J31" i="36"/>
  <c r="O30" i="36"/>
  <c r="J30" i="36"/>
  <c r="O29" i="36"/>
  <c r="J29" i="36"/>
  <c r="O28" i="36"/>
  <c r="J28" i="36"/>
  <c r="O27" i="36"/>
  <c r="J27" i="36"/>
  <c r="O26" i="36"/>
  <c r="J26" i="36"/>
  <c r="O25" i="36"/>
  <c r="J25" i="36"/>
  <c r="O24" i="36"/>
  <c r="J24" i="36"/>
  <c r="O23" i="36"/>
  <c r="J23" i="36"/>
  <c r="O22" i="36"/>
  <c r="J22" i="36"/>
  <c r="T18" i="36"/>
  <c r="S18" i="36"/>
  <c r="R18" i="36"/>
  <c r="Q18" i="36"/>
  <c r="P18" i="36"/>
  <c r="D7" i="36"/>
  <c r="D5" i="36" s="1"/>
  <c r="C6" i="36"/>
  <c r="D6" i="36" s="1"/>
  <c r="O51" i="35"/>
  <c r="J51" i="35"/>
  <c r="O50" i="35"/>
  <c r="J50" i="35"/>
  <c r="O49" i="35"/>
  <c r="J49" i="35"/>
  <c r="O48" i="35"/>
  <c r="J48" i="35"/>
  <c r="O47" i="35"/>
  <c r="J47" i="35"/>
  <c r="O46" i="35"/>
  <c r="J46" i="35"/>
  <c r="O45" i="35"/>
  <c r="J45" i="35"/>
  <c r="O44" i="35"/>
  <c r="J44" i="35"/>
  <c r="O43" i="35"/>
  <c r="J43" i="35"/>
  <c r="O42" i="35"/>
  <c r="J42" i="35"/>
  <c r="O41" i="35"/>
  <c r="J41" i="35"/>
  <c r="O40" i="35"/>
  <c r="J40" i="35"/>
  <c r="O39" i="35"/>
  <c r="J39" i="35"/>
  <c r="O38" i="35"/>
  <c r="J38" i="35"/>
  <c r="O37" i="35"/>
  <c r="J37" i="35"/>
  <c r="O36" i="35"/>
  <c r="J36" i="35"/>
  <c r="O35" i="35"/>
  <c r="J35" i="35"/>
  <c r="O34" i="35"/>
  <c r="J34" i="35"/>
  <c r="O33" i="35"/>
  <c r="J33" i="35"/>
  <c r="O32" i="35"/>
  <c r="J32" i="35"/>
  <c r="O31" i="35"/>
  <c r="J31" i="35"/>
  <c r="O30" i="35"/>
  <c r="J30" i="35"/>
  <c r="O29" i="35"/>
  <c r="J29" i="35"/>
  <c r="O28" i="35"/>
  <c r="J28" i="35"/>
  <c r="O27" i="35"/>
  <c r="J27" i="35"/>
  <c r="O26" i="35"/>
  <c r="J26" i="35"/>
  <c r="O25" i="35"/>
  <c r="J25" i="35"/>
  <c r="O24" i="35"/>
  <c r="J24" i="35"/>
  <c r="O23" i="35"/>
  <c r="J23" i="35"/>
  <c r="O22" i="35"/>
  <c r="J22" i="35"/>
  <c r="T18" i="35"/>
  <c r="S18" i="35"/>
  <c r="R18" i="35"/>
  <c r="Q18" i="35"/>
  <c r="P18" i="35"/>
  <c r="D7" i="35"/>
  <c r="D5" i="35" s="1"/>
  <c r="C6" i="35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D7" i="34"/>
  <c r="D5" i="34" s="1"/>
  <c r="I26" i="34" s="1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O67" i="34"/>
  <c r="O66" i="34"/>
  <c r="O65" i="34"/>
  <c r="O64" i="34"/>
  <c r="O63" i="34"/>
  <c r="O62" i="34"/>
  <c r="O61" i="34"/>
  <c r="O60" i="34"/>
  <c r="O59" i="34"/>
  <c r="O58" i="34"/>
  <c r="O57" i="34"/>
  <c r="O56" i="34"/>
  <c r="O55" i="34"/>
  <c r="O54" i="34"/>
  <c r="O53" i="34"/>
  <c r="O52" i="34"/>
  <c r="O51" i="34"/>
  <c r="O50" i="34"/>
  <c r="O49" i="34"/>
  <c r="O48" i="34"/>
  <c r="O47" i="34"/>
  <c r="O46" i="34"/>
  <c r="O45" i="34"/>
  <c r="O44" i="34"/>
  <c r="O43" i="34"/>
  <c r="O42" i="34"/>
  <c r="O41" i="34"/>
  <c r="O40" i="34"/>
  <c r="O39" i="34"/>
  <c r="O38" i="34"/>
  <c r="O37" i="34"/>
  <c r="O36" i="34"/>
  <c r="O35" i="34"/>
  <c r="O34" i="34"/>
  <c r="O33" i="34"/>
  <c r="O32" i="34"/>
  <c r="O31" i="34"/>
  <c r="O30" i="34"/>
  <c r="O29" i="34"/>
  <c r="O28" i="34"/>
  <c r="O27" i="34"/>
  <c r="O26" i="34"/>
  <c r="O25" i="34"/>
  <c r="O24" i="34"/>
  <c r="O23" i="34"/>
  <c r="O22" i="34"/>
  <c r="T18" i="34"/>
  <c r="S18" i="34"/>
  <c r="R18" i="34"/>
  <c r="Q18" i="34"/>
  <c r="P18" i="34"/>
  <c r="C6" i="34"/>
  <c r="V9" i="40" l="1"/>
  <c r="K19" i="40"/>
  <c r="U9" i="40"/>
  <c r="K35" i="40"/>
  <c r="K36" i="40"/>
  <c r="K12" i="40"/>
  <c r="J36" i="40"/>
  <c r="J37" i="40"/>
  <c r="V23" i="40"/>
  <c r="U23" i="40"/>
  <c r="K24" i="40"/>
  <c r="K49" i="40"/>
  <c r="U19" i="40"/>
  <c r="J28" i="40"/>
  <c r="K29" i="40"/>
  <c r="J20" i="40"/>
  <c r="J29" i="40"/>
  <c r="V20" i="40"/>
  <c r="K44" i="40"/>
  <c r="U20" i="40"/>
  <c r="J44" i="40"/>
  <c r="U15" i="40"/>
  <c r="V12" i="40"/>
  <c r="K28" i="40"/>
  <c r="U12" i="40"/>
  <c r="V19" i="40"/>
  <c r="K42" i="40"/>
  <c r="K13" i="40"/>
  <c r="K20" i="40"/>
  <c r="K43" i="40"/>
  <c r="J13" i="40"/>
  <c r="J43" i="40"/>
  <c r="J30" i="40"/>
  <c r="K16" i="40"/>
  <c r="K34" i="40"/>
  <c r="J16" i="40"/>
  <c r="K23" i="40"/>
  <c r="J49" i="40"/>
  <c r="J35" i="40"/>
  <c r="J45" i="40"/>
  <c r="J38" i="40"/>
  <c r="K38" i="40"/>
  <c r="J14" i="40"/>
  <c r="J25" i="40"/>
  <c r="K31" i="40"/>
  <c r="J39" i="40"/>
  <c r="U14" i="40"/>
  <c r="J22" i="40"/>
  <c r="K40" i="40"/>
  <c r="U11" i="40"/>
  <c r="K15" i="40"/>
  <c r="U22" i="40"/>
  <c r="K26" i="40"/>
  <c r="J41" i="40"/>
  <c r="K48" i="40"/>
  <c r="U13" i="40"/>
  <c r="K17" i="40"/>
  <c r="U24" i="40"/>
  <c r="K30" i="40"/>
  <c r="J10" i="40"/>
  <c r="V13" i="40"/>
  <c r="J21" i="40"/>
  <c r="V24" i="40"/>
  <c r="W24" i="40" s="1"/>
  <c r="K45" i="40"/>
  <c r="K10" i="40"/>
  <c r="U17" i="40"/>
  <c r="K21" i="40"/>
  <c r="J31" i="40"/>
  <c r="V17" i="40"/>
  <c r="J46" i="40"/>
  <c r="U10" i="40"/>
  <c r="K14" i="40"/>
  <c r="U21" i="40"/>
  <c r="K25" i="40"/>
  <c r="K46" i="40"/>
  <c r="V10" i="40"/>
  <c r="J18" i="40"/>
  <c r="V21" i="40"/>
  <c r="J32" i="40"/>
  <c r="K39" i="40"/>
  <c r="J8" i="40"/>
  <c r="K18" i="40"/>
  <c r="U25" i="40"/>
  <c r="K32" i="40"/>
  <c r="J47" i="40"/>
  <c r="K8" i="40"/>
  <c r="J11" i="40"/>
  <c r="V14" i="40"/>
  <c r="V25" i="40"/>
  <c r="J40" i="40"/>
  <c r="K47" i="40"/>
  <c r="K11" i="40"/>
  <c r="U18" i="40"/>
  <c r="K22" i="40"/>
  <c r="J33" i="40"/>
  <c r="U8" i="40"/>
  <c r="J15" i="40"/>
  <c r="V18" i="40"/>
  <c r="J26" i="40"/>
  <c r="K33" i="40"/>
  <c r="J48" i="40"/>
  <c r="V8" i="40"/>
  <c r="V11" i="40"/>
  <c r="J19" i="40"/>
  <c r="V22" i="40"/>
  <c r="J34" i="40"/>
  <c r="K41" i="40"/>
  <c r="J12" i="40"/>
  <c r="V15" i="40"/>
  <c r="J23" i="40"/>
  <c r="K27" i="40"/>
  <c r="J42" i="40"/>
  <c r="D6" i="38"/>
  <c r="I48" i="38"/>
  <c r="Q48" i="38" s="1"/>
  <c r="I44" i="38"/>
  <c r="Q44" i="38" s="1"/>
  <c r="I40" i="38"/>
  <c r="Q40" i="38" s="1"/>
  <c r="I36" i="38"/>
  <c r="Q36" i="38" s="1"/>
  <c r="I32" i="38"/>
  <c r="Q32" i="38" s="1"/>
  <c r="I28" i="38"/>
  <c r="Q28" i="38" s="1"/>
  <c r="I24" i="38"/>
  <c r="Q24" i="38" s="1"/>
  <c r="I49" i="38"/>
  <c r="Q49" i="38" s="1"/>
  <c r="I45" i="38"/>
  <c r="Q45" i="38" s="1"/>
  <c r="I41" i="38"/>
  <c r="Q41" i="38" s="1"/>
  <c r="I37" i="38"/>
  <c r="Q37" i="38" s="1"/>
  <c r="I33" i="38"/>
  <c r="Q33" i="38" s="1"/>
  <c r="I29" i="38"/>
  <c r="Q29" i="38" s="1"/>
  <c r="I25" i="38"/>
  <c r="Q25" i="38" s="1"/>
  <c r="I50" i="38"/>
  <c r="Q50" i="38" s="1"/>
  <c r="I46" i="38"/>
  <c r="Q46" i="38" s="1"/>
  <c r="I42" i="38"/>
  <c r="Q42" i="38" s="1"/>
  <c r="I38" i="38"/>
  <c r="Q38" i="38" s="1"/>
  <c r="I34" i="38"/>
  <c r="Q34" i="38" s="1"/>
  <c r="I30" i="38"/>
  <c r="Q30" i="38" s="1"/>
  <c r="I26" i="38"/>
  <c r="Q26" i="38" s="1"/>
  <c r="I22" i="38"/>
  <c r="I51" i="38"/>
  <c r="Q51" i="38" s="1"/>
  <c r="I47" i="38"/>
  <c r="Q47" i="38" s="1"/>
  <c r="I43" i="38"/>
  <c r="Q43" i="38" s="1"/>
  <c r="I39" i="38"/>
  <c r="Q39" i="38" s="1"/>
  <c r="I35" i="38"/>
  <c r="Q35" i="38" s="1"/>
  <c r="I31" i="38"/>
  <c r="Q31" i="38" s="1"/>
  <c r="I27" i="38"/>
  <c r="Q27" i="38" s="1"/>
  <c r="I23" i="38"/>
  <c r="Q23" i="38" s="1"/>
  <c r="I48" i="37"/>
  <c r="Q48" i="37" s="1"/>
  <c r="I33" i="37"/>
  <c r="Q33" i="37" s="1"/>
  <c r="D6" i="37"/>
  <c r="I29" i="37"/>
  <c r="Q29" i="37" s="1"/>
  <c r="I25" i="37"/>
  <c r="Q25" i="37" s="1"/>
  <c r="I23" i="37"/>
  <c r="Q23" i="37" s="1"/>
  <c r="I27" i="37"/>
  <c r="Q27" i="37" s="1"/>
  <c r="I31" i="37"/>
  <c r="Q31" i="37" s="1"/>
  <c r="I35" i="37"/>
  <c r="Q35" i="37" s="1"/>
  <c r="I39" i="37"/>
  <c r="Q39" i="37" s="1"/>
  <c r="I43" i="37"/>
  <c r="Q43" i="37" s="1"/>
  <c r="I47" i="37"/>
  <c r="Q47" i="37" s="1"/>
  <c r="I51" i="37"/>
  <c r="Q51" i="37" s="1"/>
  <c r="I22" i="37"/>
  <c r="I26" i="37"/>
  <c r="Q26" i="37" s="1"/>
  <c r="I30" i="37"/>
  <c r="Q30" i="37" s="1"/>
  <c r="I34" i="37"/>
  <c r="Q34" i="37" s="1"/>
  <c r="I38" i="37"/>
  <c r="Q38" i="37" s="1"/>
  <c r="I42" i="37"/>
  <c r="Q42" i="37" s="1"/>
  <c r="I46" i="37"/>
  <c r="Q46" i="37" s="1"/>
  <c r="I50" i="37"/>
  <c r="Q50" i="37" s="1"/>
  <c r="I37" i="37"/>
  <c r="Q37" i="37" s="1"/>
  <c r="I41" i="37"/>
  <c r="Q41" i="37" s="1"/>
  <c r="I45" i="37"/>
  <c r="Q45" i="37" s="1"/>
  <c r="I49" i="37"/>
  <c r="Q49" i="37" s="1"/>
  <c r="I24" i="37"/>
  <c r="Q24" i="37" s="1"/>
  <c r="I28" i="37"/>
  <c r="Q28" i="37" s="1"/>
  <c r="I32" i="37"/>
  <c r="Q32" i="37" s="1"/>
  <c r="I36" i="37"/>
  <c r="Q36" i="37" s="1"/>
  <c r="I40" i="37"/>
  <c r="Q40" i="37" s="1"/>
  <c r="I44" i="37"/>
  <c r="Q44" i="37" s="1"/>
  <c r="I48" i="36"/>
  <c r="Q48" i="36" s="1"/>
  <c r="I26" i="36"/>
  <c r="Q26" i="36" s="1"/>
  <c r="I34" i="36"/>
  <c r="Q34" i="36" s="1"/>
  <c r="I30" i="36"/>
  <c r="Q30" i="36" s="1"/>
  <c r="I46" i="36"/>
  <c r="Q46" i="36" s="1"/>
  <c r="I42" i="36"/>
  <c r="Q42" i="36" s="1"/>
  <c r="I38" i="36"/>
  <c r="Q38" i="36" s="1"/>
  <c r="I50" i="36"/>
  <c r="Q50" i="36" s="1"/>
  <c r="I22" i="36"/>
  <c r="Q22" i="36" s="1"/>
  <c r="I23" i="36"/>
  <c r="Q23" i="36" s="1"/>
  <c r="I27" i="36"/>
  <c r="Q27" i="36" s="1"/>
  <c r="I31" i="36"/>
  <c r="Q31" i="36" s="1"/>
  <c r="I35" i="36"/>
  <c r="Q35" i="36" s="1"/>
  <c r="I39" i="36"/>
  <c r="Q39" i="36" s="1"/>
  <c r="I43" i="36"/>
  <c r="Q43" i="36" s="1"/>
  <c r="I47" i="36"/>
  <c r="Q47" i="36" s="1"/>
  <c r="I51" i="36"/>
  <c r="Q51" i="36" s="1"/>
  <c r="I25" i="36"/>
  <c r="Q25" i="36" s="1"/>
  <c r="I29" i="36"/>
  <c r="Q29" i="36" s="1"/>
  <c r="I33" i="36"/>
  <c r="Q33" i="36" s="1"/>
  <c r="I37" i="36"/>
  <c r="Q37" i="36" s="1"/>
  <c r="I41" i="36"/>
  <c r="Q41" i="36" s="1"/>
  <c r="I45" i="36"/>
  <c r="Q45" i="36" s="1"/>
  <c r="I49" i="36"/>
  <c r="Q49" i="36" s="1"/>
  <c r="I24" i="36"/>
  <c r="Q24" i="36" s="1"/>
  <c r="I28" i="36"/>
  <c r="Q28" i="36" s="1"/>
  <c r="I32" i="36"/>
  <c r="Q32" i="36" s="1"/>
  <c r="I36" i="36"/>
  <c r="Q36" i="36" s="1"/>
  <c r="I40" i="36"/>
  <c r="Q40" i="36" s="1"/>
  <c r="I44" i="36"/>
  <c r="Q44" i="36" s="1"/>
  <c r="I44" i="35"/>
  <c r="Q44" i="35" s="1"/>
  <c r="D6" i="35"/>
  <c r="I25" i="35"/>
  <c r="Q25" i="35" s="1"/>
  <c r="I33" i="35"/>
  <c r="Q33" i="35" s="1"/>
  <c r="I28" i="35"/>
  <c r="Q28" i="35" s="1"/>
  <c r="I36" i="35"/>
  <c r="Q36" i="35" s="1"/>
  <c r="I42" i="35"/>
  <c r="Q42" i="35" s="1"/>
  <c r="I48" i="35"/>
  <c r="Q48" i="35" s="1"/>
  <c r="I26" i="35"/>
  <c r="Q26" i="35" s="1"/>
  <c r="I34" i="35"/>
  <c r="Q34" i="35" s="1"/>
  <c r="I30" i="35"/>
  <c r="Q30" i="35" s="1"/>
  <c r="I29" i="35"/>
  <c r="Q29" i="35" s="1"/>
  <c r="I40" i="35"/>
  <c r="Q40" i="35" s="1"/>
  <c r="I46" i="35"/>
  <c r="Q46" i="35" s="1"/>
  <c r="I24" i="35"/>
  <c r="Q24" i="35" s="1"/>
  <c r="I32" i="35"/>
  <c r="Q32" i="35" s="1"/>
  <c r="I22" i="35"/>
  <c r="Q22" i="35" s="1"/>
  <c r="I38" i="35"/>
  <c r="Q38" i="35" s="1"/>
  <c r="I23" i="35"/>
  <c r="Q23" i="35" s="1"/>
  <c r="I27" i="35"/>
  <c r="Q27" i="35" s="1"/>
  <c r="I31" i="35"/>
  <c r="Q31" i="35" s="1"/>
  <c r="I35" i="35"/>
  <c r="Q35" i="35" s="1"/>
  <c r="I39" i="35"/>
  <c r="Q39" i="35" s="1"/>
  <c r="I43" i="35"/>
  <c r="Q43" i="35" s="1"/>
  <c r="I47" i="35"/>
  <c r="Q47" i="35" s="1"/>
  <c r="I51" i="35"/>
  <c r="Q51" i="35" s="1"/>
  <c r="I50" i="35"/>
  <c r="Q50" i="35" s="1"/>
  <c r="I37" i="35"/>
  <c r="Q37" i="35" s="1"/>
  <c r="I41" i="35"/>
  <c r="Q41" i="35" s="1"/>
  <c r="I45" i="35"/>
  <c r="Q45" i="35" s="1"/>
  <c r="I49" i="35"/>
  <c r="Q49" i="35" s="1"/>
  <c r="I65" i="34"/>
  <c r="I64" i="34"/>
  <c r="I33" i="34"/>
  <c r="I32" i="34"/>
  <c r="I57" i="34"/>
  <c r="I25" i="34"/>
  <c r="I56" i="34"/>
  <c r="I24" i="34"/>
  <c r="I81" i="34"/>
  <c r="I49" i="34"/>
  <c r="I80" i="34"/>
  <c r="I48" i="34"/>
  <c r="I73" i="34"/>
  <c r="I41" i="34"/>
  <c r="I72" i="34"/>
  <c r="I40" i="34"/>
  <c r="I79" i="34"/>
  <c r="I71" i="34"/>
  <c r="I63" i="34"/>
  <c r="I55" i="34"/>
  <c r="I47" i="34"/>
  <c r="I39" i="34"/>
  <c r="I31" i="34"/>
  <c r="I23" i="34"/>
  <c r="I78" i="34"/>
  <c r="I70" i="34"/>
  <c r="I62" i="34"/>
  <c r="I54" i="34"/>
  <c r="I46" i="34"/>
  <c r="I38" i="34"/>
  <c r="I30" i="34"/>
  <c r="I22" i="34"/>
  <c r="I77" i="34"/>
  <c r="I69" i="34"/>
  <c r="I61" i="34"/>
  <c r="I53" i="34"/>
  <c r="I45" i="34"/>
  <c r="I37" i="34"/>
  <c r="I29" i="34"/>
  <c r="I76" i="34"/>
  <c r="I68" i="34"/>
  <c r="I60" i="34"/>
  <c r="I52" i="34"/>
  <c r="I44" i="34"/>
  <c r="I36" i="34"/>
  <c r="I28" i="34"/>
  <c r="I75" i="34"/>
  <c r="I67" i="34"/>
  <c r="I59" i="34"/>
  <c r="I51" i="34"/>
  <c r="I43" i="34"/>
  <c r="I35" i="34"/>
  <c r="I27" i="34"/>
  <c r="I74" i="34"/>
  <c r="I66" i="34"/>
  <c r="I58" i="34"/>
  <c r="I50" i="34"/>
  <c r="I42" i="34"/>
  <c r="I34" i="34"/>
  <c r="D6" i="34"/>
  <c r="O13" i="33"/>
  <c r="D9" i="33"/>
  <c r="D5" i="33" s="1"/>
  <c r="I26" i="33" s="1"/>
  <c r="J26" i="33" s="1"/>
  <c r="O71" i="33"/>
  <c r="O72" i="33"/>
  <c r="O73" i="33"/>
  <c r="O74" i="33"/>
  <c r="O75" i="33"/>
  <c r="O76" i="33"/>
  <c r="O77" i="33"/>
  <c r="O78" i="33"/>
  <c r="O79" i="33"/>
  <c r="O80" i="33"/>
  <c r="O81" i="33"/>
  <c r="O82" i="33"/>
  <c r="O70" i="33"/>
  <c r="O69" i="33"/>
  <c r="O68" i="33"/>
  <c r="O67" i="33"/>
  <c r="O66" i="33"/>
  <c r="O65" i="33"/>
  <c r="O64" i="33"/>
  <c r="O63" i="33"/>
  <c r="O62" i="33"/>
  <c r="O61" i="33"/>
  <c r="O60" i="33"/>
  <c r="O59" i="33"/>
  <c r="O58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38" i="33"/>
  <c r="O37" i="33"/>
  <c r="O36" i="33"/>
  <c r="O35" i="33"/>
  <c r="O34" i="33"/>
  <c r="O33" i="33"/>
  <c r="O32" i="33"/>
  <c r="O31" i="33"/>
  <c r="O30" i="33"/>
  <c r="O29" i="33"/>
  <c r="O28" i="33"/>
  <c r="O27" i="33"/>
  <c r="O26" i="33"/>
  <c r="O25" i="33"/>
  <c r="O24" i="33"/>
  <c r="O23" i="33"/>
  <c r="T18" i="33"/>
  <c r="S18" i="33"/>
  <c r="R18" i="33"/>
  <c r="Q18" i="33"/>
  <c r="P18" i="33"/>
  <c r="O10" i="33"/>
  <c r="C6" i="33"/>
  <c r="W23" i="40" l="1"/>
  <c r="W14" i="40"/>
  <c r="W22" i="40"/>
  <c r="W13" i="40"/>
  <c r="W11" i="40"/>
  <c r="W8" i="40"/>
  <c r="W18" i="40"/>
  <c r="W10" i="40"/>
  <c r="W20" i="40"/>
  <c r="W21" i="40"/>
  <c r="W15" i="40"/>
  <c r="W19" i="40"/>
  <c r="A84" i="34" a="1"/>
  <c r="A84" i="34" s="1"/>
  <c r="W17" i="40"/>
  <c r="W25" i="40"/>
  <c r="W12" i="40"/>
  <c r="W9" i="40"/>
  <c r="A55" i="38" a="1"/>
  <c r="Q22" i="38"/>
  <c r="A78" i="38" a="1"/>
  <c r="A78" i="38" s="1"/>
  <c r="A55" i="37" a="1"/>
  <c r="Q22" i="37"/>
  <c r="A78" i="37" a="1"/>
  <c r="A78" i="37" s="1"/>
  <c r="A55" i="36" a="1"/>
  <c r="A78" i="36" a="1"/>
  <c r="A78" i="36" s="1"/>
  <c r="A55" i="35" a="1"/>
  <c r="A78" i="35" a="1"/>
  <c r="A78" i="35" s="1"/>
  <c r="Q39" i="34"/>
  <c r="Q60" i="34"/>
  <c r="Q32" i="34"/>
  <c r="Q43" i="34"/>
  <c r="Q33" i="34"/>
  <c r="Q50" i="34"/>
  <c r="Q28" i="34"/>
  <c r="Q55" i="34"/>
  <c r="Q29" i="34"/>
  <c r="Q26" i="34"/>
  <c r="Q36" i="34"/>
  <c r="Q64" i="34"/>
  <c r="Q54" i="34"/>
  <c r="Q73" i="34"/>
  <c r="Q57" i="34"/>
  <c r="Q59" i="34"/>
  <c r="Q25" i="34"/>
  <c r="Q45" i="34"/>
  <c r="Q77" i="34"/>
  <c r="Q23" i="34"/>
  <c r="Q75" i="34"/>
  <c r="Q68" i="34"/>
  <c r="Q58" i="34"/>
  <c r="Q40" i="34"/>
  <c r="Q62" i="34"/>
  <c r="Q71" i="34"/>
  <c r="Q51" i="34"/>
  <c r="Q65" i="34"/>
  <c r="Q69" i="34"/>
  <c r="Q53" i="34"/>
  <c r="Q41" i="34"/>
  <c r="Q80" i="34"/>
  <c r="Q70" i="34"/>
  <c r="Q30" i="34"/>
  <c r="Q72" i="34"/>
  <c r="Q49" i="34"/>
  <c r="Q63" i="34"/>
  <c r="Q66" i="34"/>
  <c r="Q34" i="34"/>
  <c r="Q47" i="34"/>
  <c r="Q31" i="34"/>
  <c r="Q38" i="34"/>
  <c r="Q67" i="34"/>
  <c r="Q61" i="34"/>
  <c r="Q27" i="34"/>
  <c r="Q42" i="34"/>
  <c r="Q74" i="34"/>
  <c r="Q56" i="34"/>
  <c r="Q81" i="34"/>
  <c r="Q37" i="34"/>
  <c r="Q76" i="34"/>
  <c r="Q52" i="34"/>
  <c r="Q22" i="34"/>
  <c r="Q44" i="34"/>
  <c r="Q35" i="34"/>
  <c r="Q48" i="34"/>
  <c r="Q24" i="34"/>
  <c r="Q79" i="34"/>
  <c r="Q46" i="34"/>
  <c r="Q78" i="34"/>
  <c r="I72" i="33"/>
  <c r="J72" i="33" s="1"/>
  <c r="I40" i="33"/>
  <c r="J40" i="33" s="1"/>
  <c r="I75" i="33"/>
  <c r="J75" i="33" s="1"/>
  <c r="I48" i="33"/>
  <c r="J48" i="33" s="1"/>
  <c r="I73" i="33"/>
  <c r="J73" i="33" s="1"/>
  <c r="I41" i="33"/>
  <c r="J41" i="33" s="1"/>
  <c r="I33" i="33"/>
  <c r="J33" i="33" s="1"/>
  <c r="I64" i="33"/>
  <c r="J64" i="33" s="1"/>
  <c r="I32" i="33"/>
  <c r="J32" i="33" s="1"/>
  <c r="I65" i="33"/>
  <c r="J65" i="33" s="1"/>
  <c r="I23" i="33"/>
  <c r="J23" i="33" s="1"/>
  <c r="I57" i="33"/>
  <c r="J57" i="33" s="1"/>
  <c r="I25" i="33"/>
  <c r="J25" i="33" s="1"/>
  <c r="I56" i="33"/>
  <c r="J56" i="33" s="1"/>
  <c r="I24" i="33"/>
  <c r="J24" i="33" s="1"/>
  <c r="I81" i="33"/>
  <c r="J81" i="33" s="1"/>
  <c r="I80" i="33"/>
  <c r="J80" i="33" s="1"/>
  <c r="I49" i="33"/>
  <c r="J49" i="33" s="1"/>
  <c r="I79" i="33"/>
  <c r="J79" i="33" s="1"/>
  <c r="I71" i="33"/>
  <c r="J71" i="33" s="1"/>
  <c r="I63" i="33"/>
  <c r="J63" i="33" s="1"/>
  <c r="I55" i="33"/>
  <c r="J55" i="33" s="1"/>
  <c r="I47" i="33"/>
  <c r="J47" i="33" s="1"/>
  <c r="I39" i="33"/>
  <c r="J39" i="33" s="1"/>
  <c r="I31" i="33"/>
  <c r="J31" i="33" s="1"/>
  <c r="I78" i="33"/>
  <c r="J78" i="33" s="1"/>
  <c r="I70" i="33"/>
  <c r="J70" i="33" s="1"/>
  <c r="I62" i="33"/>
  <c r="J62" i="33" s="1"/>
  <c r="I54" i="33"/>
  <c r="J54" i="33" s="1"/>
  <c r="I46" i="33"/>
  <c r="J46" i="33" s="1"/>
  <c r="I38" i="33"/>
  <c r="J38" i="33" s="1"/>
  <c r="I30" i="33"/>
  <c r="J30" i="33" s="1"/>
  <c r="I77" i="33"/>
  <c r="J77" i="33" s="1"/>
  <c r="I69" i="33"/>
  <c r="J69" i="33" s="1"/>
  <c r="I61" i="33"/>
  <c r="J61" i="33" s="1"/>
  <c r="I53" i="33"/>
  <c r="J53" i="33" s="1"/>
  <c r="I45" i="33"/>
  <c r="J45" i="33" s="1"/>
  <c r="I37" i="33"/>
  <c r="J37" i="33" s="1"/>
  <c r="I29" i="33"/>
  <c r="J29" i="33" s="1"/>
  <c r="I76" i="33"/>
  <c r="J76" i="33" s="1"/>
  <c r="I68" i="33"/>
  <c r="J68" i="33" s="1"/>
  <c r="I60" i="33"/>
  <c r="J60" i="33" s="1"/>
  <c r="I52" i="33"/>
  <c r="J52" i="33" s="1"/>
  <c r="I44" i="33"/>
  <c r="J44" i="33" s="1"/>
  <c r="I36" i="33"/>
  <c r="J36" i="33" s="1"/>
  <c r="I28" i="33"/>
  <c r="J28" i="33" s="1"/>
  <c r="I67" i="33"/>
  <c r="J67" i="33" s="1"/>
  <c r="I59" i="33"/>
  <c r="J59" i="33" s="1"/>
  <c r="I51" i="33"/>
  <c r="J51" i="33" s="1"/>
  <c r="I43" i="33"/>
  <c r="J43" i="33" s="1"/>
  <c r="I35" i="33"/>
  <c r="J35" i="33" s="1"/>
  <c r="I27" i="33"/>
  <c r="J27" i="33" s="1"/>
  <c r="I82" i="33"/>
  <c r="J82" i="33" s="1"/>
  <c r="I74" i="33"/>
  <c r="J74" i="33" s="1"/>
  <c r="I66" i="33"/>
  <c r="J66" i="33" s="1"/>
  <c r="I58" i="33"/>
  <c r="J58" i="33" s="1"/>
  <c r="I50" i="33"/>
  <c r="J50" i="33" s="1"/>
  <c r="I42" i="33"/>
  <c r="J42" i="33" s="1"/>
  <c r="I34" i="33"/>
  <c r="J34" i="33" s="1"/>
  <c r="D6" i="33"/>
  <c r="W28" i="40" l="1"/>
  <c r="C11" i="34"/>
  <c r="L73" i="38"/>
  <c r="L69" i="38"/>
  <c r="L65" i="38"/>
  <c r="L61" i="38"/>
  <c r="L57" i="38"/>
  <c r="A55" i="38"/>
  <c r="L72" i="38"/>
  <c r="L68" i="38"/>
  <c r="L64" i="38"/>
  <c r="L60" i="38"/>
  <c r="L56" i="38"/>
  <c r="L70" i="38"/>
  <c r="L58" i="38"/>
  <c r="C11" i="38"/>
  <c r="L75" i="38"/>
  <c r="L71" i="38"/>
  <c r="L67" i="38"/>
  <c r="L63" i="38"/>
  <c r="L59" i="38"/>
  <c r="L74" i="38"/>
  <c r="L66" i="38"/>
  <c r="L62" i="38"/>
  <c r="L55" i="38"/>
  <c r="L73" i="37"/>
  <c r="L69" i="37"/>
  <c r="L65" i="37"/>
  <c r="L61" i="37"/>
  <c r="L57" i="37"/>
  <c r="A55" i="37"/>
  <c r="L72" i="37"/>
  <c r="L68" i="37"/>
  <c r="L64" i="37"/>
  <c r="L60" i="37"/>
  <c r="L56" i="37"/>
  <c r="L75" i="37"/>
  <c r="L71" i="37"/>
  <c r="L67" i="37"/>
  <c r="L63" i="37"/>
  <c r="L59" i="37"/>
  <c r="L70" i="37"/>
  <c r="L66" i="37"/>
  <c r="L58" i="37"/>
  <c r="L74" i="37"/>
  <c r="L62" i="37"/>
  <c r="L55" i="37"/>
  <c r="C11" i="37"/>
  <c r="L73" i="36"/>
  <c r="L69" i="36"/>
  <c r="L65" i="36"/>
  <c r="L61" i="36"/>
  <c r="L57" i="36"/>
  <c r="A55" i="36"/>
  <c r="L70" i="36"/>
  <c r="L55" i="36"/>
  <c r="L72" i="36"/>
  <c r="L68" i="36"/>
  <c r="L64" i="36"/>
  <c r="L60" i="36"/>
  <c r="L56" i="36"/>
  <c r="L62" i="36"/>
  <c r="L58" i="36"/>
  <c r="L75" i="36"/>
  <c r="L71" i="36"/>
  <c r="L67" i="36"/>
  <c r="L63" i="36"/>
  <c r="L59" i="36"/>
  <c r="L74" i="36"/>
  <c r="C11" i="36"/>
  <c r="L66" i="36"/>
  <c r="L75" i="35"/>
  <c r="L60" i="35"/>
  <c r="L66" i="35"/>
  <c r="L64" i="35"/>
  <c r="L70" i="35"/>
  <c r="L72" i="35"/>
  <c r="L57" i="35"/>
  <c r="L68" i="35"/>
  <c r="L74" i="35"/>
  <c r="L59" i="35"/>
  <c r="L61" i="35"/>
  <c r="A55" i="35"/>
  <c r="L63" i="35"/>
  <c r="L65" i="35"/>
  <c r="L55" i="35"/>
  <c r="L67" i="35"/>
  <c r="C11" i="35"/>
  <c r="L69" i="35"/>
  <c r="L58" i="35"/>
  <c r="L71" i="35"/>
  <c r="L56" i="35"/>
  <c r="L73" i="35"/>
  <c r="L62" i="35"/>
  <c r="A140" i="34" a="1"/>
  <c r="A140" i="34" s="1"/>
  <c r="A139" i="33" a="1"/>
  <c r="A139" i="33" s="1"/>
  <c r="A85" i="33" a="1"/>
  <c r="A112" i="33" a="1"/>
  <c r="A112" i="33" s="1"/>
  <c r="Q80" i="33"/>
  <c r="Q75" i="33"/>
  <c r="Q71" i="33"/>
  <c r="Q73" i="33"/>
  <c r="Q76" i="33"/>
  <c r="Q81" i="33"/>
  <c r="Q82" i="33"/>
  <c r="Q78" i="33"/>
  <c r="Q79" i="33"/>
  <c r="Q72" i="33"/>
  <c r="Q74" i="33"/>
  <c r="Q77" i="33"/>
  <c r="Q41" i="33"/>
  <c r="Q46" i="33"/>
  <c r="Q47" i="33"/>
  <c r="Q29" i="33"/>
  <c r="Q50" i="33"/>
  <c r="Q65" i="33"/>
  <c r="Q52" i="33"/>
  <c r="Q69" i="33"/>
  <c r="Q51" i="33"/>
  <c r="Q49" i="33"/>
  <c r="Q54" i="33"/>
  <c r="Q57" i="33"/>
  <c r="Q25" i="33"/>
  <c r="Q24" i="33"/>
  <c r="Q55" i="33"/>
  <c r="Q60" i="33"/>
  <c r="Q27" i="33"/>
  <c r="Q59" i="33"/>
  <c r="Q30" i="33"/>
  <c r="Q62" i="33"/>
  <c r="Q48" i="33"/>
  <c r="Q56" i="33"/>
  <c r="Q58" i="33"/>
  <c r="Q28" i="33"/>
  <c r="Q32" i="33"/>
  <c r="Q64" i="33"/>
  <c r="Q31" i="33"/>
  <c r="Q63" i="33"/>
  <c r="Q34" i="33"/>
  <c r="Q66" i="33"/>
  <c r="Q44" i="33"/>
  <c r="Q61" i="33"/>
  <c r="Q26" i="33"/>
  <c r="Q36" i="33"/>
  <c r="Q68" i="33"/>
  <c r="Q35" i="33"/>
  <c r="Q67" i="33"/>
  <c r="Q38" i="33"/>
  <c r="Q70" i="33"/>
  <c r="Q43" i="33"/>
  <c r="Q45" i="33"/>
  <c r="Q23" i="33"/>
  <c r="Q40" i="33"/>
  <c r="Q33" i="33"/>
  <c r="Q39" i="33"/>
  <c r="Q37" i="33"/>
  <c r="Q42" i="33"/>
  <c r="Q53" i="33"/>
  <c r="K70" i="38" l="1"/>
  <c r="K65" i="37"/>
  <c r="K71" i="36"/>
  <c r="K56" i="38"/>
  <c r="P49" i="38"/>
  <c r="R49" i="38" s="1"/>
  <c r="P45" i="38"/>
  <c r="R45" i="38" s="1"/>
  <c r="P41" i="38"/>
  <c r="R41" i="38" s="1"/>
  <c r="P37" i="38"/>
  <c r="R37" i="38" s="1"/>
  <c r="P33" i="38"/>
  <c r="R33" i="38" s="1"/>
  <c r="P29" i="38"/>
  <c r="R29" i="38" s="1"/>
  <c r="P25" i="38"/>
  <c r="R25" i="38" s="1"/>
  <c r="P50" i="38"/>
  <c r="R50" i="38" s="1"/>
  <c r="P46" i="38"/>
  <c r="R46" i="38" s="1"/>
  <c r="P42" i="38"/>
  <c r="R42" i="38" s="1"/>
  <c r="P38" i="38"/>
  <c r="R38" i="38" s="1"/>
  <c r="P34" i="38"/>
  <c r="R34" i="38" s="1"/>
  <c r="P30" i="38"/>
  <c r="R30" i="38" s="1"/>
  <c r="P26" i="38"/>
  <c r="R26" i="38" s="1"/>
  <c r="P22" i="38"/>
  <c r="C18" i="38"/>
  <c r="P32" i="38"/>
  <c r="R32" i="38" s="1"/>
  <c r="P28" i="38"/>
  <c r="R28" i="38" s="1"/>
  <c r="P24" i="38"/>
  <c r="R24" i="38" s="1"/>
  <c r="P51" i="38"/>
  <c r="R51" i="38" s="1"/>
  <c r="P47" i="38"/>
  <c r="R47" i="38" s="1"/>
  <c r="P43" i="38"/>
  <c r="P39" i="38"/>
  <c r="R39" i="38" s="1"/>
  <c r="P35" i="38"/>
  <c r="R35" i="38" s="1"/>
  <c r="P31" i="38"/>
  <c r="R31" i="38" s="1"/>
  <c r="P27" i="38"/>
  <c r="R27" i="38" s="1"/>
  <c r="P23" i="38"/>
  <c r="R23" i="38" s="1"/>
  <c r="C17" i="38"/>
  <c r="P44" i="38"/>
  <c r="R44" i="38" s="1"/>
  <c r="P36" i="38"/>
  <c r="R36" i="38" s="1"/>
  <c r="P48" i="38"/>
  <c r="R48" i="38" s="1"/>
  <c r="P40" i="38"/>
  <c r="R40" i="38" s="1"/>
  <c r="K69" i="38"/>
  <c r="K74" i="38"/>
  <c r="K75" i="38"/>
  <c r="K73" i="38"/>
  <c r="K71" i="38"/>
  <c r="K55" i="38"/>
  <c r="K60" i="38"/>
  <c r="K58" i="38"/>
  <c r="K59" i="38"/>
  <c r="K64" i="38"/>
  <c r="K57" i="38"/>
  <c r="K62" i="38"/>
  <c r="K63" i="38"/>
  <c r="K68" i="38"/>
  <c r="K61" i="38"/>
  <c r="K66" i="38"/>
  <c r="K67" i="38"/>
  <c r="K72" i="38"/>
  <c r="K65" i="38"/>
  <c r="K69" i="37"/>
  <c r="K74" i="37"/>
  <c r="K60" i="37"/>
  <c r="K72" i="37"/>
  <c r="K55" i="37"/>
  <c r="K63" i="37"/>
  <c r="K66" i="37"/>
  <c r="K67" i="37"/>
  <c r="K73" i="37"/>
  <c r="K70" i="37"/>
  <c r="K71" i="37"/>
  <c r="P49" i="37"/>
  <c r="R49" i="37" s="1"/>
  <c r="P45" i="37"/>
  <c r="R45" i="37" s="1"/>
  <c r="P41" i="37"/>
  <c r="R41" i="37" s="1"/>
  <c r="P37" i="37"/>
  <c r="R37" i="37" s="1"/>
  <c r="P33" i="37"/>
  <c r="R33" i="37" s="1"/>
  <c r="P29" i="37"/>
  <c r="R29" i="37" s="1"/>
  <c r="P25" i="37"/>
  <c r="R25" i="37" s="1"/>
  <c r="P50" i="37"/>
  <c r="R50" i="37" s="1"/>
  <c r="P46" i="37"/>
  <c r="R46" i="37" s="1"/>
  <c r="P42" i="37"/>
  <c r="R42" i="37" s="1"/>
  <c r="P38" i="37"/>
  <c r="R38" i="37" s="1"/>
  <c r="P34" i="37"/>
  <c r="R34" i="37" s="1"/>
  <c r="P30" i="37"/>
  <c r="R30" i="37" s="1"/>
  <c r="P26" i="37"/>
  <c r="R26" i="37" s="1"/>
  <c r="P22" i="37"/>
  <c r="C18" i="37"/>
  <c r="P51" i="37"/>
  <c r="R51" i="37" s="1"/>
  <c r="P47" i="37"/>
  <c r="R47" i="37" s="1"/>
  <c r="P43" i="37"/>
  <c r="P39" i="37"/>
  <c r="R39" i="37" s="1"/>
  <c r="P35" i="37"/>
  <c r="R35" i="37" s="1"/>
  <c r="P31" i="37"/>
  <c r="R31" i="37" s="1"/>
  <c r="P27" i="37"/>
  <c r="R27" i="37" s="1"/>
  <c r="P23" i="37"/>
  <c r="R23" i="37" s="1"/>
  <c r="C17" i="37"/>
  <c r="P28" i="37"/>
  <c r="R28" i="37" s="1"/>
  <c r="P48" i="37"/>
  <c r="R48" i="37" s="1"/>
  <c r="P44" i="37"/>
  <c r="R44" i="37" s="1"/>
  <c r="P40" i="37"/>
  <c r="R40" i="37" s="1"/>
  <c r="P36" i="37"/>
  <c r="R36" i="37" s="1"/>
  <c r="P32" i="37"/>
  <c r="R32" i="37" s="1"/>
  <c r="P24" i="37"/>
  <c r="R24" i="37" s="1"/>
  <c r="K75" i="37"/>
  <c r="K56" i="37"/>
  <c r="K58" i="37"/>
  <c r="K64" i="37"/>
  <c r="K57" i="37"/>
  <c r="K62" i="37"/>
  <c r="K59" i="37"/>
  <c r="K68" i="37"/>
  <c r="K61" i="37"/>
  <c r="K66" i="36"/>
  <c r="K68" i="36"/>
  <c r="K62" i="36"/>
  <c r="K64" i="36"/>
  <c r="K73" i="36"/>
  <c r="K70" i="36"/>
  <c r="K72" i="36"/>
  <c r="K74" i="36"/>
  <c r="P45" i="36"/>
  <c r="R45" i="36" s="1"/>
  <c r="P33" i="36"/>
  <c r="R33" i="36" s="1"/>
  <c r="P29" i="36"/>
  <c r="R29" i="36" s="1"/>
  <c r="P25" i="36"/>
  <c r="R25" i="36" s="1"/>
  <c r="P48" i="36"/>
  <c r="R48" i="36" s="1"/>
  <c r="P44" i="36"/>
  <c r="R44" i="36" s="1"/>
  <c r="P28" i="36"/>
  <c r="R28" i="36" s="1"/>
  <c r="P43" i="36"/>
  <c r="P23" i="36"/>
  <c r="R23" i="36" s="1"/>
  <c r="P32" i="36"/>
  <c r="R32" i="36" s="1"/>
  <c r="P50" i="36"/>
  <c r="R50" i="36" s="1"/>
  <c r="P46" i="36"/>
  <c r="R46" i="36" s="1"/>
  <c r="P42" i="36"/>
  <c r="R42" i="36" s="1"/>
  <c r="P38" i="36"/>
  <c r="R38" i="36" s="1"/>
  <c r="P34" i="36"/>
  <c r="R34" i="36" s="1"/>
  <c r="P30" i="36"/>
  <c r="R30" i="36" s="1"/>
  <c r="P26" i="36"/>
  <c r="R26" i="36" s="1"/>
  <c r="P22" i="36"/>
  <c r="P47" i="36"/>
  <c r="R47" i="36" s="1"/>
  <c r="P31" i="36"/>
  <c r="R31" i="36" s="1"/>
  <c r="C18" i="36"/>
  <c r="C17" i="36"/>
  <c r="P40" i="36"/>
  <c r="R40" i="36" s="1"/>
  <c r="P51" i="36"/>
  <c r="R51" i="36" s="1"/>
  <c r="P39" i="36"/>
  <c r="R39" i="36" s="1"/>
  <c r="P35" i="36"/>
  <c r="R35" i="36" s="1"/>
  <c r="P27" i="36"/>
  <c r="R27" i="36" s="1"/>
  <c r="P49" i="36"/>
  <c r="R49" i="36" s="1"/>
  <c r="P41" i="36"/>
  <c r="R41" i="36" s="1"/>
  <c r="P37" i="36"/>
  <c r="R37" i="36" s="1"/>
  <c r="P36" i="36"/>
  <c r="R36" i="36" s="1"/>
  <c r="P24" i="36"/>
  <c r="R24" i="36" s="1"/>
  <c r="K67" i="36"/>
  <c r="K57" i="36"/>
  <c r="K59" i="36"/>
  <c r="K75" i="36"/>
  <c r="K61" i="36"/>
  <c r="K55" i="36"/>
  <c r="K63" i="36"/>
  <c r="K56" i="36"/>
  <c r="K65" i="36"/>
  <c r="K58" i="36"/>
  <c r="K60" i="36"/>
  <c r="K69" i="36"/>
  <c r="K73" i="35"/>
  <c r="C17" i="35"/>
  <c r="P25" i="35"/>
  <c r="R25" i="35" s="1"/>
  <c r="P49" i="35"/>
  <c r="R49" i="35" s="1"/>
  <c r="P51" i="35"/>
  <c r="R51" i="35" s="1"/>
  <c r="K74" i="35"/>
  <c r="C18" i="35"/>
  <c r="K63" i="35"/>
  <c r="K56" i="35"/>
  <c r="P44" i="35"/>
  <c r="R44" i="35" s="1"/>
  <c r="P42" i="35"/>
  <c r="R42" i="35" s="1"/>
  <c r="P50" i="35"/>
  <c r="R50" i="35" s="1"/>
  <c r="P41" i="35"/>
  <c r="R41" i="35" s="1"/>
  <c r="P43" i="35"/>
  <c r="R43" i="35" s="1"/>
  <c r="K59" i="35"/>
  <c r="P24" i="35"/>
  <c r="R24" i="35" s="1"/>
  <c r="P23" i="35"/>
  <c r="R23" i="35" s="1"/>
  <c r="P22" i="35"/>
  <c r="R22" i="35" s="1"/>
  <c r="K65" i="35"/>
  <c r="K68" i="35"/>
  <c r="K64" i="35"/>
  <c r="P28" i="35"/>
  <c r="R28" i="35" s="1"/>
  <c r="P27" i="35"/>
  <c r="R27" i="35" s="1"/>
  <c r="P26" i="35"/>
  <c r="R26" i="35" s="1"/>
  <c r="K75" i="35"/>
  <c r="K62" i="35"/>
  <c r="K71" i="35"/>
  <c r="P29" i="35"/>
  <c r="R29" i="35" s="1"/>
  <c r="P32" i="35"/>
  <c r="R32" i="35" s="1"/>
  <c r="P31" i="35"/>
  <c r="R31" i="35" s="1"/>
  <c r="P30" i="35"/>
  <c r="R30" i="35" s="1"/>
  <c r="K72" i="35"/>
  <c r="P33" i="35"/>
  <c r="R33" i="35" s="1"/>
  <c r="P36" i="35"/>
  <c r="R36" i="35" s="1"/>
  <c r="P35" i="35"/>
  <c r="R35" i="35" s="1"/>
  <c r="P34" i="35"/>
  <c r="R34" i="35" s="1"/>
  <c r="K69" i="35"/>
  <c r="K67" i="35"/>
  <c r="K60" i="35"/>
  <c r="K55" i="35"/>
  <c r="P37" i="35"/>
  <c r="R37" i="35" s="1"/>
  <c r="P40" i="35"/>
  <c r="R40" i="35" s="1"/>
  <c r="P39" i="35"/>
  <c r="R39" i="35" s="1"/>
  <c r="P38" i="35"/>
  <c r="R38" i="35" s="1"/>
  <c r="K70" i="35"/>
  <c r="K66" i="35"/>
  <c r="K58" i="35"/>
  <c r="P45" i="35"/>
  <c r="R45" i="35" s="1"/>
  <c r="P48" i="35"/>
  <c r="R48" i="35" s="1"/>
  <c r="P47" i="35"/>
  <c r="R47" i="35" s="1"/>
  <c r="P46" i="35"/>
  <c r="R46" i="35" s="1"/>
  <c r="K61" i="35"/>
  <c r="K57" i="35"/>
  <c r="L91" i="34"/>
  <c r="L121" i="34"/>
  <c r="L110" i="34"/>
  <c r="L114" i="34"/>
  <c r="L118" i="34"/>
  <c r="L122" i="34"/>
  <c r="L117" i="34"/>
  <c r="L125" i="34"/>
  <c r="L111" i="34"/>
  <c r="L115" i="34"/>
  <c r="L119" i="34"/>
  <c r="L123" i="34"/>
  <c r="L116" i="34"/>
  <c r="L120" i="34"/>
  <c r="L109" i="34"/>
  <c r="L112" i="34"/>
  <c r="L124" i="34"/>
  <c r="L113" i="34"/>
  <c r="L99" i="34"/>
  <c r="L104" i="34"/>
  <c r="L103" i="34"/>
  <c r="L97" i="34"/>
  <c r="L95" i="34"/>
  <c r="L105" i="34"/>
  <c r="L86" i="34"/>
  <c r="L88" i="34"/>
  <c r="L90" i="34"/>
  <c r="L85" i="34"/>
  <c r="L94" i="34"/>
  <c r="L96" i="34"/>
  <c r="L93" i="34"/>
  <c r="L107" i="34"/>
  <c r="L98" i="34"/>
  <c r="L92" i="34"/>
  <c r="L101" i="34"/>
  <c r="L102" i="34"/>
  <c r="L100" i="34"/>
  <c r="L84" i="34"/>
  <c r="L106" i="34"/>
  <c r="L89" i="34"/>
  <c r="L108" i="34"/>
  <c r="L87" i="34"/>
  <c r="L85" i="33"/>
  <c r="L86" i="33"/>
  <c r="L94" i="33"/>
  <c r="L102" i="33"/>
  <c r="L87" i="33"/>
  <c r="L95" i="33"/>
  <c r="L103" i="33"/>
  <c r="L96" i="33"/>
  <c r="L104" i="33"/>
  <c r="L88" i="33"/>
  <c r="L89" i="33"/>
  <c r="L97" i="33"/>
  <c r="L105" i="33"/>
  <c r="L109" i="33"/>
  <c r="L90" i="33"/>
  <c r="L98" i="33"/>
  <c r="L106" i="33"/>
  <c r="L91" i="33"/>
  <c r="L99" i="33"/>
  <c r="L107" i="33"/>
  <c r="L101" i="33"/>
  <c r="L92" i="33"/>
  <c r="L100" i="33"/>
  <c r="L108" i="33"/>
  <c r="L93" i="33"/>
  <c r="A85" i="33"/>
  <c r="C12" i="33"/>
  <c r="K94" i="33" s="1"/>
  <c r="A125" i="33" a="1"/>
  <c r="A125" i="33" s="1"/>
  <c r="K84" i="34" l="1"/>
  <c r="C13" i="38"/>
  <c r="K88" i="34"/>
  <c r="R22" i="38"/>
  <c r="O55" i="38" s="1" a="1"/>
  <c r="O55" i="38" s="1"/>
  <c r="R43" i="38"/>
  <c r="O78" i="38" s="1" a="1"/>
  <c r="O78" i="38" s="1"/>
  <c r="C13" i="37"/>
  <c r="R22" i="37"/>
  <c r="O55" i="37" s="1" a="1"/>
  <c r="O55" i="37" s="1"/>
  <c r="R43" i="37"/>
  <c r="O78" i="37" s="1" a="1"/>
  <c r="O78" i="37" s="1"/>
  <c r="R22" i="36"/>
  <c r="O55" i="36" s="1" a="1"/>
  <c r="O55" i="36" s="1"/>
  <c r="C13" i="36"/>
  <c r="R43" i="36"/>
  <c r="O78" i="36" s="1" a="1"/>
  <c r="O78" i="36" s="1"/>
  <c r="O55" i="35" a="1"/>
  <c r="O55" i="35" s="1"/>
  <c r="O78" i="35" a="1"/>
  <c r="O78" i="35" s="1"/>
  <c r="C13" i="35"/>
  <c r="Q8" i="35"/>
  <c r="Q7" i="35"/>
  <c r="Q9" i="35"/>
  <c r="Q4" i="35"/>
  <c r="Q5" i="35"/>
  <c r="Q6" i="35"/>
  <c r="K125" i="34"/>
  <c r="K113" i="34"/>
  <c r="K119" i="34"/>
  <c r="K120" i="34"/>
  <c r="K116" i="34"/>
  <c r="K110" i="34"/>
  <c r="K115" i="34"/>
  <c r="K124" i="34"/>
  <c r="K111" i="34"/>
  <c r="K114" i="34"/>
  <c r="K112" i="34"/>
  <c r="K121" i="34"/>
  <c r="K118" i="34"/>
  <c r="K122" i="34"/>
  <c r="K117" i="34"/>
  <c r="K123" i="34"/>
  <c r="K109" i="34"/>
  <c r="P49" i="34"/>
  <c r="R49" i="34" s="1"/>
  <c r="P32" i="34"/>
  <c r="R32" i="34" s="1"/>
  <c r="P37" i="34"/>
  <c r="R37" i="34" s="1"/>
  <c r="P44" i="34"/>
  <c r="R44" i="34" s="1"/>
  <c r="P48" i="34"/>
  <c r="R48" i="34" s="1"/>
  <c r="K102" i="34"/>
  <c r="P46" i="34"/>
  <c r="R46" i="34" s="1"/>
  <c r="P38" i="34"/>
  <c r="R38" i="34" s="1"/>
  <c r="P31" i="34"/>
  <c r="R31" i="34" s="1"/>
  <c r="P63" i="34"/>
  <c r="R63" i="34" s="1"/>
  <c r="K86" i="34"/>
  <c r="P60" i="34"/>
  <c r="R60" i="34" s="1"/>
  <c r="P81" i="34"/>
  <c r="R81" i="34" s="1"/>
  <c r="P41" i="34"/>
  <c r="R41" i="34" s="1"/>
  <c r="P69" i="34"/>
  <c r="R69" i="34" s="1"/>
  <c r="P67" i="34"/>
  <c r="R67" i="34" s="1"/>
  <c r="K108" i="34"/>
  <c r="K97" i="34"/>
  <c r="K91" i="34"/>
  <c r="P62" i="34"/>
  <c r="R62" i="34" s="1"/>
  <c r="P30" i="34"/>
  <c r="R30" i="34" s="1"/>
  <c r="P76" i="34"/>
  <c r="R76" i="34" s="1"/>
  <c r="P56" i="34"/>
  <c r="R56" i="34" s="1"/>
  <c r="P34" i="34"/>
  <c r="R34" i="34" s="1"/>
  <c r="P70" i="34"/>
  <c r="R70" i="34" s="1"/>
  <c r="P39" i="34"/>
  <c r="R39" i="34" s="1"/>
  <c r="P71" i="34"/>
  <c r="R71" i="34" s="1"/>
  <c r="K101" i="34"/>
  <c r="P24" i="34"/>
  <c r="R24" i="34" s="1"/>
  <c r="P23" i="34"/>
  <c r="R23" i="34" s="1"/>
  <c r="K90" i="34"/>
  <c r="P68" i="34"/>
  <c r="R68" i="34" s="1"/>
  <c r="P45" i="34"/>
  <c r="R45" i="34" s="1"/>
  <c r="P50" i="34"/>
  <c r="R50" i="34" s="1"/>
  <c r="K96" i="34"/>
  <c r="P61" i="34"/>
  <c r="R61" i="34" s="1"/>
  <c r="P80" i="34"/>
  <c r="R80" i="34" s="1"/>
  <c r="P35" i="34"/>
  <c r="R35" i="34" s="1"/>
  <c r="K104" i="34"/>
  <c r="K89" i="34"/>
  <c r="P42" i="34"/>
  <c r="R42" i="34" s="1"/>
  <c r="P33" i="34"/>
  <c r="R33" i="34" s="1"/>
  <c r="P22" i="34"/>
  <c r="R22" i="34" s="1"/>
  <c r="P58" i="34"/>
  <c r="R58" i="34" s="1"/>
  <c r="P40" i="34"/>
  <c r="R40" i="34" s="1"/>
  <c r="P74" i="34"/>
  <c r="R74" i="34" s="1"/>
  <c r="P43" i="34"/>
  <c r="R43" i="34" s="1"/>
  <c r="P75" i="34"/>
  <c r="R75" i="34" s="1"/>
  <c r="K95" i="34"/>
  <c r="K98" i="34"/>
  <c r="P52" i="34"/>
  <c r="R52" i="34" s="1"/>
  <c r="P36" i="34"/>
  <c r="R36" i="34" s="1"/>
  <c r="P28" i="34"/>
  <c r="R28" i="34" s="1"/>
  <c r="P73" i="34"/>
  <c r="R73" i="34" s="1"/>
  <c r="C18" i="34"/>
  <c r="P78" i="34"/>
  <c r="R78" i="34" s="1"/>
  <c r="P47" i="34"/>
  <c r="R47" i="34" s="1"/>
  <c r="P79" i="34"/>
  <c r="R79" i="34" s="1"/>
  <c r="K87" i="34"/>
  <c r="K105" i="34"/>
  <c r="P64" i="34"/>
  <c r="R64" i="34" s="1"/>
  <c r="P26" i="34"/>
  <c r="R26" i="34" s="1"/>
  <c r="P55" i="34"/>
  <c r="R55" i="34" s="1"/>
  <c r="K100" i="34"/>
  <c r="P66" i="34"/>
  <c r="R66" i="34" s="1"/>
  <c r="P53" i="34"/>
  <c r="R53" i="34" s="1"/>
  <c r="P27" i="34"/>
  <c r="R27" i="34" s="1"/>
  <c r="P59" i="34"/>
  <c r="R59" i="34" s="1"/>
  <c r="K103" i="34"/>
  <c r="K106" i="34"/>
  <c r="P72" i="34"/>
  <c r="R72" i="34" s="1"/>
  <c r="P65" i="34"/>
  <c r="R65" i="34" s="1"/>
  <c r="K92" i="34"/>
  <c r="P54" i="34"/>
  <c r="R54" i="34" s="1"/>
  <c r="P77" i="34"/>
  <c r="R77" i="34" s="1"/>
  <c r="P57" i="34"/>
  <c r="R57" i="34" s="1"/>
  <c r="P25" i="34"/>
  <c r="R25" i="34" s="1"/>
  <c r="P29" i="34"/>
  <c r="R29" i="34" s="1"/>
  <c r="C17" i="34"/>
  <c r="P51" i="34"/>
  <c r="R51" i="34" s="1"/>
  <c r="K94" i="34"/>
  <c r="K99" i="34"/>
  <c r="K107" i="34"/>
  <c r="K93" i="34"/>
  <c r="K85" i="34"/>
  <c r="K104" i="33"/>
  <c r="K105" i="33"/>
  <c r="K100" i="33"/>
  <c r="K95" i="33"/>
  <c r="K97" i="33"/>
  <c r="K88" i="33"/>
  <c r="K91" i="33"/>
  <c r="K93" i="33"/>
  <c r="K106" i="33"/>
  <c r="K102" i="33"/>
  <c r="K99" i="33"/>
  <c r="K90" i="33"/>
  <c r="K109" i="33"/>
  <c r="K86" i="33"/>
  <c r="K101" i="33"/>
  <c r="K108" i="33"/>
  <c r="K87" i="33"/>
  <c r="K89" i="33"/>
  <c r="K96" i="33"/>
  <c r="K107" i="33"/>
  <c r="K98" i="33"/>
  <c r="K92" i="33"/>
  <c r="K103" i="33"/>
  <c r="K85" i="33"/>
  <c r="P23" i="33"/>
  <c r="Q8" i="38" l="1"/>
  <c r="Q7" i="38"/>
  <c r="Q9" i="38"/>
  <c r="Q6" i="38"/>
  <c r="Q4" i="38"/>
  <c r="Q5" i="38"/>
  <c r="Q8" i="37"/>
  <c r="Q7" i="37"/>
  <c r="Q9" i="37"/>
  <c r="Q4" i="37"/>
  <c r="Q6" i="37"/>
  <c r="Q5" i="37"/>
  <c r="Q8" i="36"/>
  <c r="Q7" i="36"/>
  <c r="Q9" i="36"/>
  <c r="Q5" i="36"/>
  <c r="Q6" i="36"/>
  <c r="Q4" i="36"/>
  <c r="C13" i="34"/>
  <c r="O84" i="34" a="1"/>
  <c r="O84" i="34" s="1"/>
  <c r="Q8" i="34"/>
  <c r="Q9" i="34"/>
  <c r="Q7" i="34"/>
  <c r="Q4" i="34"/>
  <c r="Q6" i="34"/>
  <c r="Q5" i="34"/>
  <c r="O140" i="34" a="1"/>
  <c r="O140" i="34" s="1"/>
  <c r="C14" i="33"/>
  <c r="P45" i="33"/>
  <c r="R45" i="33" s="1"/>
  <c r="P62" i="33"/>
  <c r="R62" i="33" s="1"/>
  <c r="P49" i="33"/>
  <c r="R49" i="33" s="1"/>
  <c r="P27" i="33"/>
  <c r="R27" i="33" s="1"/>
  <c r="P24" i="33"/>
  <c r="R24" i="33" s="1"/>
  <c r="P48" i="33"/>
  <c r="R48" i="33" s="1"/>
  <c r="P70" i="33"/>
  <c r="R70" i="33" s="1"/>
  <c r="P46" i="33"/>
  <c r="R46" i="33" s="1"/>
  <c r="P53" i="33"/>
  <c r="R53" i="33" s="1"/>
  <c r="P52" i="33"/>
  <c r="R52" i="33" s="1"/>
  <c r="P26" i="33"/>
  <c r="R26" i="33" s="1"/>
  <c r="P58" i="33"/>
  <c r="R58" i="33" s="1"/>
  <c r="P37" i="33"/>
  <c r="R37" i="33" s="1"/>
  <c r="C18" i="33"/>
  <c r="P67" i="33"/>
  <c r="R67" i="33" s="1"/>
  <c r="P75" i="33"/>
  <c r="R75" i="33" s="1"/>
  <c r="P76" i="33"/>
  <c r="R76" i="33" s="1"/>
  <c r="P77" i="33"/>
  <c r="R77" i="33" s="1"/>
  <c r="P78" i="33"/>
  <c r="R78" i="33" s="1"/>
  <c r="P71" i="33"/>
  <c r="P79" i="33"/>
  <c r="R79" i="33" s="1"/>
  <c r="P82" i="33"/>
  <c r="R82" i="33" s="1"/>
  <c r="P72" i="33"/>
  <c r="R72" i="33" s="1"/>
  <c r="P80" i="33"/>
  <c r="R80" i="33" s="1"/>
  <c r="P74" i="33"/>
  <c r="R74" i="33" s="1"/>
  <c r="P73" i="33"/>
  <c r="R73" i="33" s="1"/>
  <c r="P81" i="33"/>
  <c r="R81" i="33" s="1"/>
  <c r="P56" i="33"/>
  <c r="R56" i="33" s="1"/>
  <c r="P39" i="33"/>
  <c r="R39" i="33" s="1"/>
  <c r="P60" i="33"/>
  <c r="R60" i="33" s="1"/>
  <c r="P43" i="33"/>
  <c r="R43" i="33" s="1"/>
  <c r="C19" i="33"/>
  <c r="P57" i="33"/>
  <c r="R57" i="33" s="1"/>
  <c r="P28" i="33"/>
  <c r="R28" i="33" s="1"/>
  <c r="P64" i="33"/>
  <c r="R64" i="33" s="1"/>
  <c r="P51" i="33"/>
  <c r="R51" i="33" s="1"/>
  <c r="P38" i="33"/>
  <c r="R38" i="33" s="1"/>
  <c r="P29" i="33"/>
  <c r="R29" i="33" s="1"/>
  <c r="P65" i="33"/>
  <c r="R65" i="33" s="1"/>
  <c r="P40" i="33"/>
  <c r="R40" i="33" s="1"/>
  <c r="P34" i="33"/>
  <c r="R34" i="33" s="1"/>
  <c r="P50" i="33"/>
  <c r="R50" i="33" s="1"/>
  <c r="P59" i="33"/>
  <c r="P25" i="33"/>
  <c r="R25" i="33" s="1"/>
  <c r="P61" i="33"/>
  <c r="R61" i="33" s="1"/>
  <c r="P32" i="33"/>
  <c r="R32" i="33" s="1"/>
  <c r="P55" i="33"/>
  <c r="R55" i="33" s="1"/>
  <c r="P33" i="33"/>
  <c r="R33" i="33" s="1"/>
  <c r="P69" i="33"/>
  <c r="R69" i="33" s="1"/>
  <c r="P30" i="33"/>
  <c r="R30" i="33" s="1"/>
  <c r="P44" i="33"/>
  <c r="R44" i="33" s="1"/>
  <c r="P42" i="33"/>
  <c r="R42" i="33" s="1"/>
  <c r="P66" i="33"/>
  <c r="R66" i="33" s="1"/>
  <c r="P54" i="33"/>
  <c r="R54" i="33" s="1"/>
  <c r="P47" i="33"/>
  <c r="R47" i="33" s="1"/>
  <c r="P41" i="33"/>
  <c r="R41" i="33" s="1"/>
  <c r="P36" i="33"/>
  <c r="R36" i="33" s="1"/>
  <c r="P68" i="33"/>
  <c r="R68" i="33" s="1"/>
  <c r="P31" i="33"/>
  <c r="R31" i="33" s="1"/>
  <c r="P63" i="33"/>
  <c r="R63" i="33" s="1"/>
  <c r="P35" i="33"/>
  <c r="R35" i="33" s="1"/>
  <c r="R23" i="33"/>
  <c r="R71" i="33" l="1"/>
  <c r="Q15" i="33" s="1"/>
  <c r="R59" i="33"/>
  <c r="Q12" i="33" s="1"/>
  <c r="O112" i="33" a="1"/>
  <c r="O112" i="33" s="1"/>
  <c r="O85" i="33" a="1"/>
  <c r="O85" i="33" s="1"/>
  <c r="Q4" i="33"/>
  <c r="Q5" i="33"/>
  <c r="Q6" i="33"/>
  <c r="Q7" i="33"/>
  <c r="Q9" i="33"/>
  <c r="Q8" i="33"/>
  <c r="Q14" i="33" l="1"/>
  <c r="Q13" i="33"/>
  <c r="O139" i="33" a="1"/>
  <c r="O139" i="33" s="1"/>
  <c r="Q11" i="33"/>
  <c r="O125" i="33" a="1"/>
  <c r="O125" i="33" s="1"/>
  <c r="Q10" i="33"/>
  <c r="O57" i="24" l="1"/>
  <c r="J57" i="24"/>
  <c r="O56" i="24"/>
  <c r="J56" i="24"/>
  <c r="O55" i="24"/>
  <c r="J55" i="24"/>
  <c r="O54" i="24"/>
  <c r="J54" i="24"/>
  <c r="O53" i="24"/>
  <c r="J53" i="24"/>
  <c r="O52" i="24"/>
  <c r="J52" i="24"/>
  <c r="O51" i="24"/>
  <c r="J51" i="24"/>
  <c r="O50" i="24"/>
  <c r="J50" i="24"/>
  <c r="O49" i="24"/>
  <c r="J49" i="24"/>
  <c r="O48" i="24"/>
  <c r="J48" i="24"/>
  <c r="O47" i="24"/>
  <c r="J47" i="24"/>
  <c r="O46" i="24"/>
  <c r="J46" i="24"/>
  <c r="O45" i="24"/>
  <c r="J45" i="24"/>
  <c r="O44" i="24"/>
  <c r="J44" i="24"/>
  <c r="O43" i="24"/>
  <c r="J43" i="24"/>
  <c r="O42" i="24"/>
  <c r="J42" i="24"/>
  <c r="O41" i="24"/>
  <c r="J41" i="24"/>
  <c r="O40" i="24"/>
  <c r="J40" i="24"/>
  <c r="O39" i="24"/>
  <c r="J39" i="24"/>
  <c r="O38" i="24"/>
  <c r="J38" i="24"/>
  <c r="O37" i="24"/>
  <c r="J37" i="24"/>
  <c r="O36" i="24"/>
  <c r="J36" i="24"/>
  <c r="O35" i="24"/>
  <c r="J35" i="24"/>
  <c r="O34" i="24"/>
  <c r="J34" i="24"/>
  <c r="O33" i="24"/>
  <c r="J33" i="24"/>
  <c r="O32" i="24"/>
  <c r="J32" i="24"/>
  <c r="O31" i="24"/>
  <c r="J31" i="24"/>
  <c r="O30" i="24"/>
  <c r="J30" i="24"/>
  <c r="O29" i="24"/>
  <c r="J29" i="24"/>
  <c r="O28" i="24"/>
  <c r="J28" i="24"/>
  <c r="O27" i="24"/>
  <c r="J27" i="24"/>
  <c r="O26" i="24"/>
  <c r="J26" i="24"/>
  <c r="O25" i="24"/>
  <c r="J25" i="24"/>
  <c r="O24" i="24"/>
  <c r="J24" i="24"/>
  <c r="O23" i="24"/>
  <c r="J23" i="24"/>
  <c r="O22" i="24"/>
  <c r="J22" i="24"/>
  <c r="T17" i="24"/>
  <c r="S17" i="24"/>
  <c r="R17" i="24"/>
  <c r="Q17" i="24"/>
  <c r="P17" i="24"/>
  <c r="D7" i="24"/>
  <c r="C6" i="24"/>
  <c r="D6" i="24" s="1"/>
  <c r="D5" i="24"/>
  <c r="I55" i="24" s="1"/>
  <c r="Q55" i="24" s="1"/>
  <c r="O57" i="23"/>
  <c r="J57" i="23"/>
  <c r="O56" i="23"/>
  <c r="J56" i="23"/>
  <c r="O55" i="23"/>
  <c r="J55" i="23"/>
  <c r="O54" i="23"/>
  <c r="J54" i="23"/>
  <c r="O53" i="23"/>
  <c r="J53" i="23"/>
  <c r="O52" i="23"/>
  <c r="J52" i="23"/>
  <c r="O51" i="23"/>
  <c r="J51" i="23"/>
  <c r="O50" i="23"/>
  <c r="J50" i="23"/>
  <c r="O49" i="23"/>
  <c r="J49" i="23"/>
  <c r="O48" i="23"/>
  <c r="J48" i="23"/>
  <c r="O47" i="23"/>
  <c r="J47" i="23"/>
  <c r="O46" i="23"/>
  <c r="J46" i="23"/>
  <c r="O45" i="23"/>
  <c r="J45" i="23"/>
  <c r="O44" i="23"/>
  <c r="J44" i="23"/>
  <c r="O43" i="23"/>
  <c r="J43" i="23"/>
  <c r="O42" i="23"/>
  <c r="J42" i="23"/>
  <c r="O41" i="23"/>
  <c r="J41" i="23"/>
  <c r="O40" i="23"/>
  <c r="J40" i="23"/>
  <c r="O39" i="23"/>
  <c r="J39" i="23"/>
  <c r="O38" i="23"/>
  <c r="J38" i="23"/>
  <c r="O37" i="23"/>
  <c r="J37" i="23"/>
  <c r="O36" i="23"/>
  <c r="J36" i="23"/>
  <c r="O35" i="23"/>
  <c r="J35" i="23"/>
  <c r="O34" i="23"/>
  <c r="J34" i="23"/>
  <c r="O33" i="23"/>
  <c r="J33" i="23"/>
  <c r="O32" i="23"/>
  <c r="J32" i="23"/>
  <c r="O31" i="23"/>
  <c r="J31" i="23"/>
  <c r="O30" i="23"/>
  <c r="J30" i="23"/>
  <c r="O29" i="23"/>
  <c r="J29" i="23"/>
  <c r="O28" i="23"/>
  <c r="J28" i="23"/>
  <c r="O27" i="23"/>
  <c r="J27" i="23"/>
  <c r="O26" i="23"/>
  <c r="J26" i="23"/>
  <c r="O25" i="23"/>
  <c r="J25" i="23"/>
  <c r="O24" i="23"/>
  <c r="J24" i="23"/>
  <c r="O23" i="23"/>
  <c r="J23" i="23"/>
  <c r="O22" i="23"/>
  <c r="J22" i="23"/>
  <c r="T17" i="23"/>
  <c r="S17" i="23"/>
  <c r="R17" i="23"/>
  <c r="Q17" i="23"/>
  <c r="P17" i="23"/>
  <c r="D7" i="23"/>
  <c r="D5" i="23" s="1"/>
  <c r="C6" i="23"/>
  <c r="D6" i="23" s="1"/>
  <c r="O57" i="22"/>
  <c r="J57" i="22"/>
  <c r="O56" i="22"/>
  <c r="J56" i="22"/>
  <c r="O55" i="22"/>
  <c r="J55" i="22"/>
  <c r="O54" i="22"/>
  <c r="J54" i="22"/>
  <c r="O53" i="22"/>
  <c r="J53" i="22"/>
  <c r="O52" i="22"/>
  <c r="J52" i="22"/>
  <c r="O51" i="22"/>
  <c r="J51" i="22"/>
  <c r="O50" i="22"/>
  <c r="J50" i="22"/>
  <c r="O49" i="22"/>
  <c r="J49" i="22"/>
  <c r="O48" i="22"/>
  <c r="J48" i="22"/>
  <c r="O47" i="22"/>
  <c r="J47" i="22"/>
  <c r="O46" i="22"/>
  <c r="J46" i="22"/>
  <c r="O45" i="22"/>
  <c r="J45" i="22"/>
  <c r="O44" i="22"/>
  <c r="J44" i="22"/>
  <c r="O43" i="22"/>
  <c r="J43" i="22"/>
  <c r="O42" i="22"/>
  <c r="J42" i="22"/>
  <c r="O41" i="22"/>
  <c r="J41" i="22"/>
  <c r="O40" i="22"/>
  <c r="J40" i="22"/>
  <c r="O39" i="22"/>
  <c r="J39" i="22"/>
  <c r="O38" i="22"/>
  <c r="J38" i="22"/>
  <c r="O37" i="22"/>
  <c r="J37" i="22"/>
  <c r="O36" i="22"/>
  <c r="J36" i="22"/>
  <c r="O35" i="22"/>
  <c r="J35" i="22"/>
  <c r="O34" i="22"/>
  <c r="J34" i="22"/>
  <c r="O33" i="22"/>
  <c r="J33" i="22"/>
  <c r="O32" i="22"/>
  <c r="J32" i="22"/>
  <c r="O31" i="22"/>
  <c r="J31" i="22"/>
  <c r="O30" i="22"/>
  <c r="J30" i="22"/>
  <c r="O29" i="22"/>
  <c r="J29" i="22"/>
  <c r="O28" i="22"/>
  <c r="J28" i="22"/>
  <c r="O27" i="22"/>
  <c r="J27" i="22"/>
  <c r="O26" i="22"/>
  <c r="J26" i="22"/>
  <c r="O25" i="22"/>
  <c r="J25" i="22"/>
  <c r="O24" i="22"/>
  <c r="J24" i="22"/>
  <c r="O23" i="22"/>
  <c r="J23" i="22"/>
  <c r="O22" i="22"/>
  <c r="J22" i="22"/>
  <c r="T17" i="22"/>
  <c r="S17" i="22"/>
  <c r="R17" i="22"/>
  <c r="Q17" i="22"/>
  <c r="P17" i="22"/>
  <c r="D7" i="22"/>
  <c r="D5" i="22" s="1"/>
  <c r="C6" i="22"/>
  <c r="D6" i="22" s="1"/>
  <c r="I26" i="24" l="1"/>
  <c r="Q26" i="24" s="1"/>
  <c r="I30" i="24"/>
  <c r="Q30" i="24" s="1"/>
  <c r="I34" i="24"/>
  <c r="Q34" i="24" s="1"/>
  <c r="I38" i="24"/>
  <c r="Q38" i="24" s="1"/>
  <c r="I42" i="24"/>
  <c r="Q42" i="24" s="1"/>
  <c r="I46" i="24"/>
  <c r="Q46" i="24" s="1"/>
  <c r="I50" i="24"/>
  <c r="Q50" i="24" s="1"/>
  <c r="I22" i="24"/>
  <c r="Q22" i="24" s="1"/>
  <c r="I54" i="24"/>
  <c r="Q54" i="24" s="1"/>
  <c r="I25" i="24"/>
  <c r="Q25" i="24" s="1"/>
  <c r="I29" i="24"/>
  <c r="Q29" i="24" s="1"/>
  <c r="I33" i="24"/>
  <c r="Q33" i="24" s="1"/>
  <c r="I37" i="24"/>
  <c r="Q37" i="24" s="1"/>
  <c r="I41" i="24"/>
  <c r="Q41" i="24" s="1"/>
  <c r="I45" i="24"/>
  <c r="Q45" i="24" s="1"/>
  <c r="I49" i="24"/>
  <c r="Q49" i="24" s="1"/>
  <c r="I53" i="24"/>
  <c r="Q53" i="24" s="1"/>
  <c r="I57" i="24"/>
  <c r="Q57" i="24" s="1"/>
  <c r="I24" i="24"/>
  <c r="Q24" i="24" s="1"/>
  <c r="I28" i="24"/>
  <c r="Q28" i="24" s="1"/>
  <c r="I32" i="24"/>
  <c r="Q32" i="24" s="1"/>
  <c r="I36" i="24"/>
  <c r="Q36" i="24" s="1"/>
  <c r="I40" i="24"/>
  <c r="Q40" i="24" s="1"/>
  <c r="I44" i="24"/>
  <c r="Q44" i="24" s="1"/>
  <c r="I48" i="24"/>
  <c r="Q48" i="24" s="1"/>
  <c r="I52" i="24"/>
  <c r="Q52" i="24" s="1"/>
  <c r="I56" i="24"/>
  <c r="Q56" i="24" s="1"/>
  <c r="I23" i="24"/>
  <c r="Q23" i="24" s="1"/>
  <c r="I27" i="24"/>
  <c r="Q27" i="24" s="1"/>
  <c r="I31" i="24"/>
  <c r="Q31" i="24" s="1"/>
  <c r="I35" i="24"/>
  <c r="Q35" i="24" s="1"/>
  <c r="I39" i="24"/>
  <c r="Q39" i="24" s="1"/>
  <c r="I43" i="24"/>
  <c r="Q43" i="24" s="1"/>
  <c r="I47" i="24"/>
  <c r="Q47" i="24" s="1"/>
  <c r="I51" i="24"/>
  <c r="Q51" i="24" s="1"/>
  <c r="I26" i="23"/>
  <c r="Q26" i="23" s="1"/>
  <c r="I55" i="23"/>
  <c r="Q55" i="23" s="1"/>
  <c r="I51" i="23"/>
  <c r="Q51" i="23" s="1"/>
  <c r="I47" i="23"/>
  <c r="Q47" i="23" s="1"/>
  <c r="I43" i="23"/>
  <c r="Q43" i="23" s="1"/>
  <c r="I39" i="23"/>
  <c r="Q39" i="23" s="1"/>
  <c r="I35" i="23"/>
  <c r="Q35" i="23" s="1"/>
  <c r="I31" i="23"/>
  <c r="Q31" i="23" s="1"/>
  <c r="I27" i="23"/>
  <c r="Q27" i="23" s="1"/>
  <c r="I23" i="23"/>
  <c r="Q23" i="23" s="1"/>
  <c r="I46" i="23"/>
  <c r="Q46" i="23" s="1"/>
  <c r="I50" i="23"/>
  <c r="Q50" i="23" s="1"/>
  <c r="I34" i="23"/>
  <c r="Q34" i="23" s="1"/>
  <c r="I22" i="23"/>
  <c r="I56" i="23"/>
  <c r="Q56" i="23" s="1"/>
  <c r="I52" i="23"/>
  <c r="Q52" i="23" s="1"/>
  <c r="I48" i="23"/>
  <c r="Q48" i="23" s="1"/>
  <c r="I44" i="23"/>
  <c r="Q44" i="23" s="1"/>
  <c r="I40" i="23"/>
  <c r="Q40" i="23" s="1"/>
  <c r="I36" i="23"/>
  <c r="Q36" i="23" s="1"/>
  <c r="I32" i="23"/>
  <c r="Q32" i="23" s="1"/>
  <c r="I28" i="23"/>
  <c r="Q28" i="23" s="1"/>
  <c r="I24" i="23"/>
  <c r="Q24" i="23" s="1"/>
  <c r="I42" i="23"/>
  <c r="Q42" i="23" s="1"/>
  <c r="I57" i="23"/>
  <c r="Q57" i="23" s="1"/>
  <c r="I53" i="23"/>
  <c r="Q53" i="23" s="1"/>
  <c r="I49" i="23"/>
  <c r="Q49" i="23" s="1"/>
  <c r="I45" i="23"/>
  <c r="Q45" i="23" s="1"/>
  <c r="I41" i="23"/>
  <c r="Q41" i="23" s="1"/>
  <c r="I37" i="23"/>
  <c r="Q37" i="23" s="1"/>
  <c r="I33" i="23"/>
  <c r="Q33" i="23" s="1"/>
  <c r="I29" i="23"/>
  <c r="Q29" i="23" s="1"/>
  <c r="I25" i="23"/>
  <c r="Q25" i="23" s="1"/>
  <c r="I54" i="23"/>
  <c r="Q54" i="23" s="1"/>
  <c r="I38" i="23"/>
  <c r="Q38" i="23" s="1"/>
  <c r="I30" i="23"/>
  <c r="Q30" i="23" s="1"/>
  <c r="I42" i="22"/>
  <c r="Q42" i="22" s="1"/>
  <c r="I30" i="22"/>
  <c r="Q30" i="22" s="1"/>
  <c r="I55" i="22"/>
  <c r="Q55" i="22" s="1"/>
  <c r="I51" i="22"/>
  <c r="Q51" i="22" s="1"/>
  <c r="I47" i="22"/>
  <c r="Q47" i="22" s="1"/>
  <c r="I43" i="22"/>
  <c r="Q43" i="22" s="1"/>
  <c r="I39" i="22"/>
  <c r="Q39" i="22" s="1"/>
  <c r="I35" i="22"/>
  <c r="Q35" i="22" s="1"/>
  <c r="I31" i="22"/>
  <c r="Q31" i="22" s="1"/>
  <c r="I27" i="22"/>
  <c r="Q27" i="22" s="1"/>
  <c r="I23" i="22"/>
  <c r="Q23" i="22" s="1"/>
  <c r="I56" i="22"/>
  <c r="Q56" i="22" s="1"/>
  <c r="I52" i="22"/>
  <c r="Q52" i="22" s="1"/>
  <c r="I48" i="22"/>
  <c r="Q48" i="22" s="1"/>
  <c r="I44" i="22"/>
  <c r="Q44" i="22" s="1"/>
  <c r="I40" i="22"/>
  <c r="Q40" i="22" s="1"/>
  <c r="I36" i="22"/>
  <c r="Q36" i="22" s="1"/>
  <c r="I32" i="22"/>
  <c r="Q32" i="22" s="1"/>
  <c r="I28" i="22"/>
  <c r="Q28" i="22" s="1"/>
  <c r="I24" i="22"/>
  <c r="Q24" i="22" s="1"/>
  <c r="I50" i="22"/>
  <c r="Q50" i="22" s="1"/>
  <c r="I46" i="22"/>
  <c r="Q46" i="22" s="1"/>
  <c r="I38" i="22"/>
  <c r="Q38" i="22" s="1"/>
  <c r="I57" i="22"/>
  <c r="Q57" i="22" s="1"/>
  <c r="I53" i="22"/>
  <c r="Q53" i="22" s="1"/>
  <c r="I49" i="22"/>
  <c r="Q49" i="22" s="1"/>
  <c r="I45" i="22"/>
  <c r="Q45" i="22" s="1"/>
  <c r="I41" i="22"/>
  <c r="Q41" i="22" s="1"/>
  <c r="I37" i="22"/>
  <c r="Q37" i="22" s="1"/>
  <c r="I33" i="22"/>
  <c r="Q33" i="22" s="1"/>
  <c r="I29" i="22"/>
  <c r="Q29" i="22" s="1"/>
  <c r="I25" i="22"/>
  <c r="Q25" i="22" s="1"/>
  <c r="I22" i="22"/>
  <c r="I54" i="22"/>
  <c r="Q54" i="22" s="1"/>
  <c r="I34" i="22"/>
  <c r="Q34" i="22" s="1"/>
  <c r="I26" i="22"/>
  <c r="Q26" i="22" s="1"/>
  <c r="A61" i="24" l="1" a="1"/>
  <c r="A124" i="24" a="1"/>
  <c r="A124" i="24" s="1"/>
  <c r="A61" i="23" a="1"/>
  <c r="A124" i="23" a="1"/>
  <c r="A124" i="23" s="1"/>
  <c r="Q22" i="23"/>
  <c r="A61" i="22" a="1"/>
  <c r="A124" i="22" a="1"/>
  <c r="A124" i="22" s="1"/>
  <c r="Q22" i="22"/>
  <c r="L82" i="24" l="1"/>
  <c r="L78" i="24"/>
  <c r="L74" i="24"/>
  <c r="L70" i="24"/>
  <c r="L66" i="24"/>
  <c r="L62" i="24"/>
  <c r="C11" i="24"/>
  <c r="L85" i="24"/>
  <c r="L81" i="24"/>
  <c r="L77" i="24"/>
  <c r="L73" i="24"/>
  <c r="L69" i="24"/>
  <c r="L65" i="24"/>
  <c r="L84" i="24"/>
  <c r="L80" i="24"/>
  <c r="L76" i="24"/>
  <c r="L72" i="24"/>
  <c r="L68" i="24"/>
  <c r="L64" i="24"/>
  <c r="L61" i="24"/>
  <c r="L83" i="24"/>
  <c r="L79" i="24"/>
  <c r="L75" i="24"/>
  <c r="L71" i="24"/>
  <c r="L67" i="24"/>
  <c r="L63" i="24"/>
  <c r="A61" i="24"/>
  <c r="L82" i="23"/>
  <c r="L78" i="23"/>
  <c r="L74" i="23"/>
  <c r="L70" i="23"/>
  <c r="L66" i="23"/>
  <c r="L62" i="23"/>
  <c r="C11" i="23"/>
  <c r="L84" i="23"/>
  <c r="L76" i="23"/>
  <c r="L64" i="23"/>
  <c r="L80" i="23"/>
  <c r="L68" i="23"/>
  <c r="L61" i="23"/>
  <c r="L85" i="23"/>
  <c r="L81" i="23"/>
  <c r="L77" i="23"/>
  <c r="L73" i="23"/>
  <c r="L69" i="23"/>
  <c r="L65" i="23"/>
  <c r="L72" i="23"/>
  <c r="L83" i="23"/>
  <c r="L79" i="23"/>
  <c r="L75" i="23"/>
  <c r="L71" i="23"/>
  <c r="L67" i="23"/>
  <c r="L63" i="23"/>
  <c r="A61" i="23"/>
  <c r="L82" i="22"/>
  <c r="L78" i="22"/>
  <c r="L74" i="22"/>
  <c r="L70" i="22"/>
  <c r="L66" i="22"/>
  <c r="L62" i="22"/>
  <c r="L85" i="22"/>
  <c r="L81" i="22"/>
  <c r="L77" i="22"/>
  <c r="L73" i="22"/>
  <c r="L69" i="22"/>
  <c r="L65" i="22"/>
  <c r="L84" i="22"/>
  <c r="L80" i="22"/>
  <c r="L76" i="22"/>
  <c r="L72" i="22"/>
  <c r="L68" i="22"/>
  <c r="L64" i="22"/>
  <c r="L61" i="22"/>
  <c r="L83" i="22"/>
  <c r="L79" i="22"/>
  <c r="L75" i="22"/>
  <c r="L71" i="22"/>
  <c r="L67" i="22"/>
  <c r="L63" i="22"/>
  <c r="A61" i="22"/>
  <c r="C11" i="22"/>
  <c r="K82" i="24" l="1"/>
  <c r="K70" i="23"/>
  <c r="C18" i="22"/>
  <c r="K72" i="24"/>
  <c r="K75" i="24"/>
  <c r="K74" i="24"/>
  <c r="K81" i="24"/>
  <c r="K61" i="24"/>
  <c r="K79" i="24"/>
  <c r="K64" i="24"/>
  <c r="K85" i="24"/>
  <c r="K78" i="24"/>
  <c r="K83" i="24"/>
  <c r="K68" i="24"/>
  <c r="P56" i="24"/>
  <c r="R56" i="24" s="1"/>
  <c r="P52" i="24"/>
  <c r="R52" i="24" s="1"/>
  <c r="P48" i="24"/>
  <c r="R48" i="24" s="1"/>
  <c r="P44" i="24"/>
  <c r="R44" i="24" s="1"/>
  <c r="P40" i="24"/>
  <c r="R40" i="24" s="1"/>
  <c r="P36" i="24"/>
  <c r="R36" i="24" s="1"/>
  <c r="P32" i="24"/>
  <c r="R32" i="24" s="1"/>
  <c r="P28" i="24"/>
  <c r="R28" i="24" s="1"/>
  <c r="P24" i="24"/>
  <c r="R24" i="24" s="1"/>
  <c r="C18" i="24"/>
  <c r="P57" i="24"/>
  <c r="R57" i="24" s="1"/>
  <c r="P53" i="24"/>
  <c r="R53" i="24" s="1"/>
  <c r="P49" i="24"/>
  <c r="R49" i="24" s="1"/>
  <c r="P45" i="24"/>
  <c r="R45" i="24" s="1"/>
  <c r="P41" i="24"/>
  <c r="R41" i="24" s="1"/>
  <c r="P37" i="24"/>
  <c r="R37" i="24" s="1"/>
  <c r="P33" i="24"/>
  <c r="R33" i="24" s="1"/>
  <c r="P29" i="24"/>
  <c r="R29" i="24" s="1"/>
  <c r="P25" i="24"/>
  <c r="R25" i="24" s="1"/>
  <c r="P54" i="24"/>
  <c r="R54" i="24" s="1"/>
  <c r="P50" i="24"/>
  <c r="R50" i="24" s="1"/>
  <c r="P46" i="24"/>
  <c r="R46" i="24" s="1"/>
  <c r="P42" i="24"/>
  <c r="R42" i="24" s="1"/>
  <c r="P38" i="24"/>
  <c r="R38" i="24" s="1"/>
  <c r="P34" i="24"/>
  <c r="R34" i="24" s="1"/>
  <c r="P30" i="24"/>
  <c r="R30" i="24" s="1"/>
  <c r="P26" i="24"/>
  <c r="R26" i="24" s="1"/>
  <c r="P22" i="24"/>
  <c r="P55" i="24"/>
  <c r="R55" i="24" s="1"/>
  <c r="P51" i="24"/>
  <c r="R51" i="24" s="1"/>
  <c r="P47" i="24"/>
  <c r="P43" i="24"/>
  <c r="R43" i="24" s="1"/>
  <c r="P39" i="24"/>
  <c r="R39" i="24" s="1"/>
  <c r="P35" i="24"/>
  <c r="R35" i="24" s="1"/>
  <c r="P31" i="24"/>
  <c r="R31" i="24" s="1"/>
  <c r="P27" i="24"/>
  <c r="R27" i="24" s="1"/>
  <c r="P23" i="24"/>
  <c r="R23" i="24" s="1"/>
  <c r="C17" i="24"/>
  <c r="K76" i="24"/>
  <c r="K65" i="24"/>
  <c r="K63" i="24"/>
  <c r="K80" i="24"/>
  <c r="K69" i="24"/>
  <c r="K62" i="24"/>
  <c r="K67" i="24"/>
  <c r="K84" i="24"/>
  <c r="K73" i="24"/>
  <c r="K66" i="24"/>
  <c r="K71" i="24"/>
  <c r="K77" i="24"/>
  <c r="K70" i="24"/>
  <c r="K64" i="23"/>
  <c r="K67" i="23"/>
  <c r="K61" i="23"/>
  <c r="K65" i="23"/>
  <c r="K83" i="23"/>
  <c r="K68" i="23"/>
  <c r="K69" i="23"/>
  <c r="K62" i="23"/>
  <c r="K76" i="23"/>
  <c r="K77" i="23"/>
  <c r="K74" i="23"/>
  <c r="K72" i="23"/>
  <c r="K73" i="23"/>
  <c r="K66" i="23"/>
  <c r="K80" i="23"/>
  <c r="K81" i="23"/>
  <c r="K82" i="23"/>
  <c r="K84" i="23"/>
  <c r="K85" i="23"/>
  <c r="K75" i="23"/>
  <c r="K63" i="23"/>
  <c r="K71" i="23"/>
  <c r="P56" i="23"/>
  <c r="R56" i="23" s="1"/>
  <c r="P52" i="23"/>
  <c r="R52" i="23" s="1"/>
  <c r="P48" i="23"/>
  <c r="R48" i="23" s="1"/>
  <c r="P44" i="23"/>
  <c r="R44" i="23" s="1"/>
  <c r="P40" i="23"/>
  <c r="R40" i="23" s="1"/>
  <c r="P36" i="23"/>
  <c r="R36" i="23" s="1"/>
  <c r="P32" i="23"/>
  <c r="R32" i="23" s="1"/>
  <c r="P28" i="23"/>
  <c r="R28" i="23" s="1"/>
  <c r="P24" i="23"/>
  <c r="R24" i="23" s="1"/>
  <c r="C18" i="23"/>
  <c r="P34" i="23"/>
  <c r="R34" i="23" s="1"/>
  <c r="P22" i="23"/>
  <c r="P57" i="23"/>
  <c r="R57" i="23" s="1"/>
  <c r="P53" i="23"/>
  <c r="R53" i="23" s="1"/>
  <c r="P49" i="23"/>
  <c r="R49" i="23" s="1"/>
  <c r="P45" i="23"/>
  <c r="R45" i="23" s="1"/>
  <c r="P41" i="23"/>
  <c r="R41" i="23" s="1"/>
  <c r="P37" i="23"/>
  <c r="R37" i="23" s="1"/>
  <c r="P33" i="23"/>
  <c r="R33" i="23" s="1"/>
  <c r="P29" i="23"/>
  <c r="R29" i="23" s="1"/>
  <c r="P25" i="23"/>
  <c r="R25" i="23" s="1"/>
  <c r="P54" i="23"/>
  <c r="R54" i="23" s="1"/>
  <c r="P50" i="23"/>
  <c r="R50" i="23" s="1"/>
  <c r="P46" i="23"/>
  <c r="R46" i="23" s="1"/>
  <c r="P42" i="23"/>
  <c r="R42" i="23" s="1"/>
  <c r="P38" i="23"/>
  <c r="R38" i="23" s="1"/>
  <c r="P31" i="23"/>
  <c r="R31" i="23" s="1"/>
  <c r="P30" i="23"/>
  <c r="R30" i="23" s="1"/>
  <c r="P26" i="23"/>
  <c r="R26" i="23" s="1"/>
  <c r="P55" i="23"/>
  <c r="R55" i="23" s="1"/>
  <c r="P51" i="23"/>
  <c r="R51" i="23" s="1"/>
  <c r="P47" i="23"/>
  <c r="P43" i="23"/>
  <c r="R43" i="23" s="1"/>
  <c r="P39" i="23"/>
  <c r="R39" i="23" s="1"/>
  <c r="P35" i="23"/>
  <c r="R35" i="23" s="1"/>
  <c r="P27" i="23"/>
  <c r="R27" i="23" s="1"/>
  <c r="P23" i="23"/>
  <c r="R23" i="23" s="1"/>
  <c r="C17" i="23"/>
  <c r="K79" i="23"/>
  <c r="K78" i="23"/>
  <c r="K66" i="22"/>
  <c r="C17" i="22"/>
  <c r="K62" i="22"/>
  <c r="K78" i="22"/>
  <c r="K67" i="22"/>
  <c r="K61" i="22"/>
  <c r="K73" i="22"/>
  <c r="K76" i="22"/>
  <c r="K80" i="22"/>
  <c r="K79" i="22"/>
  <c r="K82" i="22"/>
  <c r="K84" i="22"/>
  <c r="K65" i="22"/>
  <c r="K63" i="22"/>
  <c r="K69" i="22"/>
  <c r="K83" i="22"/>
  <c r="K75" i="22"/>
  <c r="K71" i="22"/>
  <c r="K64" i="22"/>
  <c r="K77" i="22"/>
  <c r="P56" i="22"/>
  <c r="R56" i="22" s="1"/>
  <c r="P52" i="22"/>
  <c r="R52" i="22" s="1"/>
  <c r="P48" i="22"/>
  <c r="R48" i="22" s="1"/>
  <c r="P44" i="22"/>
  <c r="R44" i="22" s="1"/>
  <c r="P40" i="22"/>
  <c r="R40" i="22" s="1"/>
  <c r="P36" i="22"/>
  <c r="R36" i="22" s="1"/>
  <c r="P32" i="22"/>
  <c r="R32" i="22" s="1"/>
  <c r="P28" i="22"/>
  <c r="R28" i="22" s="1"/>
  <c r="P24" i="22"/>
  <c r="R24" i="22" s="1"/>
  <c r="P57" i="22"/>
  <c r="R57" i="22" s="1"/>
  <c r="P53" i="22"/>
  <c r="R53" i="22" s="1"/>
  <c r="P49" i="22"/>
  <c r="R49" i="22" s="1"/>
  <c r="P45" i="22"/>
  <c r="R45" i="22" s="1"/>
  <c r="P41" i="22"/>
  <c r="R41" i="22" s="1"/>
  <c r="P37" i="22"/>
  <c r="R37" i="22" s="1"/>
  <c r="P33" i="22"/>
  <c r="R33" i="22" s="1"/>
  <c r="P29" i="22"/>
  <c r="R29" i="22" s="1"/>
  <c r="P25" i="22"/>
  <c r="R25" i="22" s="1"/>
  <c r="P54" i="22"/>
  <c r="R54" i="22" s="1"/>
  <c r="P50" i="22"/>
  <c r="R50" i="22" s="1"/>
  <c r="P46" i="22"/>
  <c r="R46" i="22" s="1"/>
  <c r="P42" i="22"/>
  <c r="R42" i="22" s="1"/>
  <c r="P38" i="22"/>
  <c r="R38" i="22" s="1"/>
  <c r="P34" i="22"/>
  <c r="R34" i="22" s="1"/>
  <c r="P30" i="22"/>
  <c r="R30" i="22" s="1"/>
  <c r="P26" i="22"/>
  <c r="R26" i="22" s="1"/>
  <c r="P22" i="22"/>
  <c r="R22" i="22" s="1"/>
  <c r="P55" i="22"/>
  <c r="R55" i="22" s="1"/>
  <c r="P51" i="22"/>
  <c r="R51" i="22" s="1"/>
  <c r="P47" i="22"/>
  <c r="P43" i="22"/>
  <c r="R43" i="22" s="1"/>
  <c r="P39" i="22"/>
  <c r="R39" i="22" s="1"/>
  <c r="P35" i="22"/>
  <c r="R35" i="22" s="1"/>
  <c r="P31" i="22"/>
  <c r="R31" i="22" s="1"/>
  <c r="P27" i="22"/>
  <c r="R27" i="22" s="1"/>
  <c r="P23" i="22"/>
  <c r="R23" i="22" s="1"/>
  <c r="K68" i="22"/>
  <c r="K81" i="22"/>
  <c r="K70" i="22"/>
  <c r="K72" i="22"/>
  <c r="K85" i="22"/>
  <c r="K74" i="22"/>
  <c r="C13" i="24" l="1"/>
  <c r="R22" i="24"/>
  <c r="O61" i="24" s="1" a="1"/>
  <c r="O61" i="24" s="1"/>
  <c r="R47" i="24"/>
  <c r="O124" i="24" s="1" a="1"/>
  <c r="O124" i="24" s="1"/>
  <c r="C13" i="23"/>
  <c r="R47" i="23"/>
  <c r="O124" i="23" s="1" a="1"/>
  <c r="O124" i="23" s="1"/>
  <c r="R22" i="23"/>
  <c r="O61" i="23" s="1" a="1"/>
  <c r="O61" i="23" s="1"/>
  <c r="C13" i="22"/>
  <c r="R47" i="22"/>
  <c r="O124" i="22" s="1" a="1"/>
  <c r="O124" i="22" s="1"/>
  <c r="O61" i="22" l="1" a="1"/>
  <c r="O61" i="22" s="1"/>
  <c r="Q4" i="22"/>
  <c r="Q9" i="24"/>
  <c r="Q8" i="24"/>
  <c r="Q7" i="24"/>
  <c r="Q5" i="24"/>
  <c r="Q4" i="24"/>
  <c r="Q6" i="24"/>
  <c r="Q5" i="23"/>
  <c r="Q4" i="23"/>
  <c r="Q6" i="23"/>
  <c r="Q9" i="23"/>
  <c r="Q8" i="23"/>
  <c r="Q7" i="23"/>
  <c r="Q5" i="22"/>
  <c r="Q6" i="22"/>
  <c r="Q8" i="22"/>
  <c r="Q7" i="22"/>
  <c r="Q9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F3B563-1FAA-4441-8361-5568BEA5BF0F}" keepAlive="1" name="Consulta - Tabla_Datos" description="Conexión a la consulta 'Tabla_Datos' en el libro." type="5" refreshedVersion="8" background="1" saveData="1">
    <dbPr connection="Provider=Microsoft.Mashup.OleDb.1;Data Source=$Workbook$;Location=Tabla_Datos;Extended Properties=&quot;&quot;" command="SELECT * FROM [Tabla_Datos]"/>
  </connection>
  <connection id="2" xr16:uid="{4EDC02F0-D750-48E1-9F1E-9568154269EE}" keepAlive="1" name="Consulta - Tabla_Datos (10)" description="Conexión a la consulta 'Tabla_Datos (10)' en el libro." type="5" refreshedVersion="8" background="1" saveData="1">
    <dbPr connection="Provider=Microsoft.Mashup.OleDb.1;Data Source=$Workbook$;Location=&quot;Tabla_Datos (10)&quot;;Extended Properties=&quot;&quot;" command="SELECT * FROM [Tabla_Datos (10)]"/>
  </connection>
  <connection id="3" xr16:uid="{3927FC1A-035B-4590-95E3-F867E65663CC}" keepAlive="1" name="Consulta - Tabla_Datos (11)" description="Conexión a la consulta 'Tabla_Datos (11)' en el libro." type="5" refreshedVersion="8" background="1" saveData="1">
    <dbPr connection="Provider=Microsoft.Mashup.OleDb.1;Data Source=$Workbook$;Location=&quot;Tabla_Datos (11)&quot;;Extended Properties=&quot;&quot;" command="SELECT * FROM [Tabla_Datos (11)]"/>
  </connection>
  <connection id="4" xr16:uid="{60385012-D1A5-4871-9F96-58F7D68098CF}" keepAlive="1" name="Consulta - Tabla_Datos (12)" description="Conexión a la consulta 'Tabla_Datos (12)' en el libro." type="5" refreshedVersion="8" background="1" saveData="1">
    <dbPr connection="Provider=Microsoft.Mashup.OleDb.1;Data Source=$Workbook$;Location=&quot;Tabla_Datos (12)&quot;;Extended Properties=&quot;&quot;" command="SELECT * FROM [Tabla_Datos (12)]"/>
  </connection>
  <connection id="5" xr16:uid="{A4A6C1D3-ECC8-4EF3-A153-67DA81191364}" keepAlive="1" name="Consulta - Tabla_Datos (13)" description="Conexión a la consulta 'Tabla_Datos (13)' en el libro." type="5" refreshedVersion="8" background="1" saveData="1">
    <dbPr connection="Provider=Microsoft.Mashup.OleDb.1;Data Source=$Workbook$;Location=&quot;Tabla_Datos (13)&quot;;Extended Properties=&quot;&quot;" command="SELECT * FROM [Tabla_Datos (13)]"/>
  </connection>
  <connection id="6" xr16:uid="{80D4C73C-6523-4588-B84E-F0102F58192F}" keepAlive="1" name="Consulta - Tabla_Datos (14)" description="Conexión a la consulta 'Tabla_Datos (14)' en el libro." type="5" refreshedVersion="8" background="1" saveData="1">
    <dbPr connection="Provider=Microsoft.Mashup.OleDb.1;Data Source=$Workbook$;Location=&quot;Tabla_Datos (14)&quot;;Extended Properties=&quot;&quot;" command="SELECT * FROM [Tabla_Datos (14)]"/>
  </connection>
  <connection id="7" xr16:uid="{0B9A7F3C-AD2E-44CD-B633-44374D1F6899}" keepAlive="1" name="Consulta - Tabla_Datos (15)" description="Conexión a la consulta 'Tabla_Datos (15)' en el libro." type="5" refreshedVersion="8" background="1" saveData="1">
    <dbPr connection="Provider=Microsoft.Mashup.OleDb.1;Data Source=$Workbook$;Location=&quot;Tabla_Datos (15)&quot;;Extended Properties=&quot;&quot;" command="SELECT * FROM [Tabla_Datos (15)]"/>
  </connection>
  <connection id="8" xr16:uid="{B666F25E-8611-4D33-BF29-540C4DF422E7}" keepAlive="1" name="Consulta - Tabla_Datos (16)" description="Conexión a la consulta 'Tabla_Datos (16)' en el libro." type="5" refreshedVersion="8" background="1" saveData="1">
    <dbPr connection="Provider=Microsoft.Mashup.OleDb.1;Data Source=$Workbook$;Location=&quot;Tabla_Datos (16)&quot;;Extended Properties=&quot;&quot;" command="SELECT * FROM [Tabla_Datos (16)]"/>
  </connection>
  <connection id="9" xr16:uid="{2078D507-9603-4D12-B0B3-FD65844E9289}" keepAlive="1" name="Consulta - Tabla_Datos (17)" description="Conexión a la consulta 'Tabla_Datos (17)' en el libro." type="5" refreshedVersion="8" background="1" saveData="1">
    <dbPr connection="Provider=Microsoft.Mashup.OleDb.1;Data Source=$Workbook$;Location=&quot;Tabla_Datos (17)&quot;;Extended Properties=&quot;&quot;" command="SELECT * FROM [Tabla_Datos (17)]"/>
  </connection>
  <connection id="10" xr16:uid="{C6BDB948-343B-4B2D-AE93-75837BBECD89}" keepAlive="1" name="Consulta - Tabla_Datos (18)" description="Conexión a la consulta 'Tabla_Datos (18)' en el libro." type="5" refreshedVersion="8" background="1" saveData="1">
    <dbPr connection="Provider=Microsoft.Mashup.OleDb.1;Data Source=$Workbook$;Location=&quot;Tabla_Datos (18)&quot;;Extended Properties=&quot;&quot;" command="SELECT * FROM [Tabla_Datos (18)]"/>
  </connection>
  <connection id="11" xr16:uid="{5B35FBEC-B9D4-4328-BC4B-F4864C3223D7}" keepAlive="1" name="Consulta - Tabla_Datos (19)" description="Conexión a la consulta 'Tabla_Datos (19)' en el libro." type="5" refreshedVersion="8" background="1" saveData="1">
    <dbPr connection="Provider=Microsoft.Mashup.OleDb.1;Data Source=$Workbook$;Location=&quot;Tabla_Datos (19)&quot;;Extended Properties=&quot;&quot;" command="SELECT * FROM [Tabla_Datos (19)]"/>
  </connection>
  <connection id="12" xr16:uid="{18412F3C-4C9D-4EF0-B34A-B113436DF358}" keepAlive="1" name="Consulta - Tabla_Datos (2)" description="Conexión a la consulta 'Tabla_Datos (2)' en el libro." type="5" refreshedVersion="8" background="1" saveData="1">
    <dbPr connection="Provider=Microsoft.Mashup.OleDb.1;Data Source=$Workbook$;Location=&quot;Tabla_Datos (2)&quot;;Extended Properties=&quot;&quot;" command="SELECT * FROM [Tabla_Datos (2)]"/>
  </connection>
  <connection id="13" xr16:uid="{CF736E03-BEC1-42D4-A4F9-7346A62370C9}" keepAlive="1" name="Consulta - Tabla_Datos (20)" description="Conexión a la consulta 'Tabla_Datos (20)' en el libro." type="5" refreshedVersion="8" background="1" saveData="1">
    <dbPr connection="Provider=Microsoft.Mashup.OleDb.1;Data Source=$Workbook$;Location=&quot;Tabla_Datos (20)&quot;;Extended Properties=&quot;&quot;" command="SELECT * FROM [Tabla_Datos (20)]"/>
  </connection>
  <connection id="14" xr16:uid="{9DF22D9C-5E71-4DB6-9125-12C9435D1443}" keepAlive="1" name="Consulta - Tabla_Datos (21)" description="Conexión a la consulta 'Tabla_Datos (21)' en el libro." type="5" refreshedVersion="8" background="1" saveData="1">
    <dbPr connection="Provider=Microsoft.Mashup.OleDb.1;Data Source=$Workbook$;Location=&quot;Tabla_Datos (21)&quot;;Extended Properties=&quot;&quot;" command="SELECT * FROM [Tabla_Datos (21)]"/>
  </connection>
  <connection id="15" xr16:uid="{0A866FE7-F29D-498A-B98D-981E8CAE1DF9}" keepAlive="1" name="Consulta - Tabla_Datos (22)" description="Conexión a la consulta 'Tabla_Datos (22)' en el libro." type="5" refreshedVersion="8" background="1" saveData="1">
    <dbPr connection="Provider=Microsoft.Mashup.OleDb.1;Data Source=$Workbook$;Location=&quot;Tabla_Datos (22)&quot;;Extended Properties=&quot;&quot;" command="SELECT * FROM [Tabla_Datos (22)]"/>
  </connection>
  <connection id="16" xr16:uid="{5AA8B898-2627-4AEC-A933-FFCCABAAC27C}" keepAlive="1" name="Consulta - Tabla_Datos (23)" description="Conexión a la consulta 'Tabla_Datos (23)' en el libro." type="5" refreshedVersion="8" background="1" saveData="1">
    <dbPr connection="Provider=Microsoft.Mashup.OleDb.1;Data Source=$Workbook$;Location=&quot;Tabla_Datos (23)&quot;;Extended Properties=&quot;&quot;" command="SELECT * FROM [Tabla_Datos (23)]"/>
  </connection>
  <connection id="17" xr16:uid="{ED9022CB-0AF0-428A-8284-208C1C76AA9A}" keepAlive="1" name="Consulta - Tabla_Datos (24)" description="Conexión a la consulta 'Tabla_Datos (24)' en el libro." type="5" refreshedVersion="8" background="1" saveData="1">
    <dbPr connection="Provider=Microsoft.Mashup.OleDb.1;Data Source=$Workbook$;Location=&quot;Tabla_Datos (24)&quot;;Extended Properties=&quot;&quot;" command="SELECT * FROM [Tabla_Datos (24)]"/>
  </connection>
  <connection id="18" xr16:uid="{3FF8DC5E-0082-471E-BA2B-ECF8AF92C5D4}" keepAlive="1" name="Consulta - Tabla_Datos (25)" description="Conexión a la consulta 'Tabla_Datos (25)' en el libro." type="5" refreshedVersion="8" background="1" saveData="1">
    <dbPr connection="Provider=Microsoft.Mashup.OleDb.1;Data Source=$Workbook$;Location=&quot;Tabla_Datos (25)&quot;;Extended Properties=&quot;&quot;" command="SELECT * FROM [Tabla_Datos (25)]"/>
  </connection>
  <connection id="19" xr16:uid="{D40DCDA7-1CE7-408B-BAA5-DEA025588B80}" keepAlive="1" name="Consulta - Tabla_Datos (26)" description="Conexión a la consulta 'Tabla_Datos (26)' en el libro." type="5" refreshedVersion="8" background="1" saveData="1">
    <dbPr connection="Provider=Microsoft.Mashup.OleDb.1;Data Source=$Workbook$;Location=&quot;Tabla_Datos (26)&quot;;Extended Properties=&quot;&quot;" command="SELECT * FROM [Tabla_Datos (26)]"/>
  </connection>
  <connection id="20" xr16:uid="{A393AF78-ACAC-45B7-801A-FEEFCC23C79E}" keepAlive="1" name="Consulta - Tabla_Datos (27)" description="Conexión a la consulta 'Tabla_Datos (27)' en el libro." type="5" refreshedVersion="8" background="1" saveData="1">
    <dbPr connection="Provider=Microsoft.Mashup.OleDb.1;Data Source=$Workbook$;Location=&quot;Tabla_Datos (27)&quot;;Extended Properties=&quot;&quot;" command="SELECT * FROM [Tabla_Datos (27)]"/>
  </connection>
  <connection id="21" xr16:uid="{EF81E309-A890-434B-B1E2-CD3318836086}" keepAlive="1" name="Consulta - Tabla_Datos (28)" description="Conexión a la consulta 'Tabla_Datos (28)' en el libro." type="5" refreshedVersion="8" background="1" saveData="1">
    <dbPr connection="Provider=Microsoft.Mashup.OleDb.1;Data Source=$Workbook$;Location=&quot;Tabla_Datos (28)&quot;;Extended Properties=&quot;&quot;" command="SELECT * FROM [Tabla_Datos (28)]"/>
  </connection>
  <connection id="22" xr16:uid="{80DBF00D-3E90-445A-A5F5-58ABB354A4D1}" keepAlive="1" name="Consulta - Tabla_Datos (29)" description="Conexión a la consulta 'Tabla_Datos (29)' en el libro." type="5" refreshedVersion="8" background="1" saveData="1">
    <dbPr connection="Provider=Microsoft.Mashup.OleDb.1;Data Source=$Workbook$;Location=&quot;Tabla_Datos (29)&quot;;Extended Properties=&quot;&quot;" command="SELECT * FROM [Tabla_Datos (29)]"/>
  </connection>
  <connection id="23" xr16:uid="{17A37D82-369C-4AF0-AFD1-38F351D5988B}" keepAlive="1" name="Consulta - Tabla_Datos (3)" description="Conexión a la consulta 'Tabla_Datos (3)' en el libro." type="5" refreshedVersion="8" background="1" saveData="1">
    <dbPr connection="Provider=Microsoft.Mashup.OleDb.1;Data Source=$Workbook$;Location=&quot;Tabla_Datos (3)&quot;;Extended Properties=&quot;&quot;" command="SELECT * FROM [Tabla_Datos (3)]"/>
  </connection>
  <connection id="24" xr16:uid="{1DA0EB1E-5C7E-4D5C-8750-B0A046052B0C}" keepAlive="1" name="Consulta - Tabla_Datos (30)" description="Conexión a la consulta 'Tabla_Datos (30)' en el libro." type="5" refreshedVersion="8" background="1" saveData="1">
    <dbPr connection="Provider=Microsoft.Mashup.OleDb.1;Data Source=$Workbook$;Location=&quot;Tabla_Datos (30)&quot;;Extended Properties=&quot;&quot;" command="SELECT * FROM [Tabla_Datos (30)]"/>
  </connection>
  <connection id="25" xr16:uid="{7A39E984-8286-4473-A109-9A565BC5F1A9}" keepAlive="1" name="Consulta - Tabla_Datos (31)" description="Conexión a la consulta 'Tabla_Datos (31)' en el libro." type="5" refreshedVersion="8" background="1" saveData="1">
    <dbPr connection="Provider=Microsoft.Mashup.OleDb.1;Data Source=$Workbook$;Location=&quot;Tabla_Datos (31)&quot;;Extended Properties=&quot;&quot;" command="SELECT * FROM [Tabla_Datos (31)]"/>
  </connection>
  <connection id="26" xr16:uid="{DA3BC675-0081-4371-A226-A0DFA29A140C}" keepAlive="1" name="Consulta - Tabla_Datos (32)" description="Conexión a la consulta 'Tabla_Datos (32)' en el libro." type="5" refreshedVersion="8" background="1" saveData="1">
    <dbPr connection="Provider=Microsoft.Mashup.OleDb.1;Data Source=$Workbook$;Location=&quot;Tabla_Datos (32)&quot;;Extended Properties=&quot;&quot;" command="SELECT * FROM [Tabla_Datos (32)]"/>
  </connection>
  <connection id="27" xr16:uid="{CD92C891-772F-4767-9831-221425F9C5A4}" keepAlive="1" name="Consulta - Tabla_Datos (33)" description="Conexión a la consulta 'Tabla_Datos (33)' en el libro." type="5" refreshedVersion="8" background="1" saveData="1">
    <dbPr connection="Provider=Microsoft.Mashup.OleDb.1;Data Source=$Workbook$;Location=&quot;Tabla_Datos (33)&quot;;Extended Properties=&quot;&quot;" command="SELECT * FROM [Tabla_Datos (33)]"/>
  </connection>
  <connection id="28" xr16:uid="{412849DF-147C-4B37-96D0-7098E5F4D9CA}" keepAlive="1" name="Consulta - Tabla_Datos (34)" description="Conexión a la consulta 'Tabla_Datos (34)' en el libro." type="5" refreshedVersion="8" background="1" saveData="1">
    <dbPr connection="Provider=Microsoft.Mashup.OleDb.1;Data Source=$Workbook$;Location=&quot;Tabla_Datos (34)&quot;;Extended Properties=&quot;&quot;" command="SELECT * FROM [Tabla_Datos (34)]"/>
  </connection>
  <connection id="29" xr16:uid="{74340647-738E-4443-9A39-6692E1B8D3AD}" keepAlive="1" name="Consulta - Tabla_Datos (35)" description="Conexión a la consulta 'Tabla_Datos (35)' en el libro." type="5" refreshedVersion="8" background="1" saveData="1">
    <dbPr connection="Provider=Microsoft.Mashup.OleDb.1;Data Source=$Workbook$;Location=&quot;Tabla_Datos (35)&quot;;Extended Properties=&quot;&quot;" command="SELECT * FROM [Tabla_Datos (35)]"/>
  </connection>
  <connection id="30" xr16:uid="{16DEEB38-119F-4C49-831B-99DE7FF0B0EE}" keepAlive="1" name="Consulta - Tabla_Datos (36)" description="Conexión a la consulta 'Tabla_Datos (36)' en el libro." type="5" refreshedVersion="8" background="1" saveData="1">
    <dbPr connection="Provider=Microsoft.Mashup.OleDb.1;Data Source=$Workbook$;Location=&quot;Tabla_Datos (36)&quot;;Extended Properties=&quot;&quot;" command="SELECT * FROM [Tabla_Datos (36)]"/>
  </connection>
  <connection id="31" xr16:uid="{A8731E40-D857-41B8-B5C9-52F76A6F8E76}" keepAlive="1" name="Consulta - Tabla_Datos (4)" description="Conexión a la consulta 'Tabla_Datos (4)' en el libro." type="5" refreshedVersion="8" background="1" saveData="1">
    <dbPr connection="Provider=Microsoft.Mashup.OleDb.1;Data Source=$Workbook$;Location=&quot;Tabla_Datos (4)&quot;;Extended Properties=&quot;&quot;" command="SELECT * FROM [Tabla_Datos (4)]"/>
  </connection>
  <connection id="32" xr16:uid="{606D8BA0-89DB-44E6-8F7D-16A38977EDD5}" keepAlive="1" name="Consulta - Tabla_Datos (5)" description="Conexión a la consulta 'Tabla_Datos (5)' en el libro." type="5" refreshedVersion="8" background="1" saveData="1">
    <dbPr connection="Provider=Microsoft.Mashup.OleDb.1;Data Source=$Workbook$;Location=&quot;Tabla_Datos (5)&quot;;Extended Properties=&quot;&quot;" command="SELECT * FROM [Tabla_Datos (5)]"/>
  </connection>
  <connection id="33" xr16:uid="{A84C218A-ABE7-42D1-91D7-996F3D538B21}" keepAlive="1" name="Consulta - Tabla_Datos (6)" description="Conexión a la consulta 'Tabla_Datos (6)' en el libro." type="5" refreshedVersion="8" background="1" saveData="1">
    <dbPr connection="Provider=Microsoft.Mashup.OleDb.1;Data Source=$Workbook$;Location=&quot;Tabla_Datos (6)&quot;;Extended Properties=&quot;&quot;" command="SELECT * FROM [Tabla_Datos (6)]"/>
  </connection>
  <connection id="34" xr16:uid="{80787732-3F5B-496C-9ECD-8E6CBFCA9F6C}" keepAlive="1" name="Consulta - Tabla_Datos (7)" description="Conexión a la consulta 'Tabla_Datos (7)' en el libro." type="5" refreshedVersion="8" background="1" saveData="1">
    <dbPr connection="Provider=Microsoft.Mashup.OleDb.1;Data Source=$Workbook$;Location=&quot;Tabla_Datos (7)&quot;;Extended Properties=&quot;&quot;" command="SELECT * FROM [Tabla_Datos (7)]"/>
  </connection>
  <connection id="35" xr16:uid="{0C9D4956-3B9C-46F3-AF30-E929A9B99638}" keepAlive="1" name="Consulta - Tabla_Datos (8)" description="Conexión a la consulta 'Tabla_Datos (8)' en el libro." type="5" refreshedVersion="8" background="1" saveData="1">
    <dbPr connection="Provider=Microsoft.Mashup.OleDb.1;Data Source=$Workbook$;Location=&quot;Tabla_Datos (8)&quot;;Extended Properties=&quot;&quot;" command="SELECT * FROM [Tabla_Datos (8)]"/>
  </connection>
  <connection id="36" xr16:uid="{9E89236B-5BF4-454E-BDA5-53C61DADFD44}" keepAlive="1" name="Consulta - Tabla_Datos (9)" description="Conexión a la consulta 'Tabla_Datos (9)' en el libro." type="5" refreshedVersion="8" background="1" saveData="1">
    <dbPr connection="Provider=Microsoft.Mashup.OleDb.1;Data Source=$Workbook$;Location=&quot;Tabla_Datos (9)&quot;;Extended Properties=&quot;&quot;" command="SELECT * FROM [Tabla_Datos (9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<sst xmlns="http://schemas.openxmlformats.org/spreadsheetml/2006/main" count="1448" uniqueCount="94">
  <si>
    <t>PCM</t>
  </si>
  <si>
    <t>L</t>
  </si>
  <si>
    <t>Process</t>
  </si>
  <si>
    <t>α</t>
  </si>
  <si>
    <t>Test</t>
  </si>
  <si>
    <t>A_T</t>
  </si>
  <si>
    <t>A_q</t>
  </si>
  <si>
    <t>A_T/A_q</t>
  </si>
  <si>
    <t>RT8</t>
  </si>
  <si>
    <t>Solidification</t>
  </si>
  <si>
    <t>Melting</t>
  </si>
  <si>
    <t>RT11</t>
  </si>
  <si>
    <t>RT24</t>
  </si>
  <si>
    <t>T / V</t>
  </si>
  <si>
    <t>b</t>
  </si>
  <si>
    <t>m</t>
  </si>
  <si>
    <t>A_q measured</t>
  </si>
  <si>
    <t>Measured</t>
  </si>
  <si>
    <t>Predicted</t>
  </si>
  <si>
    <t>Sort</t>
  </si>
  <si>
    <t>A_q predicted (b=0)</t>
  </si>
  <si>
    <t>Training</t>
  </si>
  <si>
    <t>Validation</t>
  </si>
  <si>
    <t>Total</t>
  </si>
  <si>
    <t>y_i - m·x_i</t>
  </si>
  <si>
    <t>y_i - ymedia</t>
  </si>
  <si>
    <t>%</t>
  </si>
  <si>
    <t>Abs</t>
  </si>
  <si>
    <t>Max</t>
  </si>
  <si>
    <t>Min</t>
  </si>
  <si>
    <t>Average</t>
  </si>
  <si>
    <r>
      <t>R</t>
    </r>
    <r>
      <rPr>
        <b/>
        <vertAlign val="superscript"/>
        <sz val="11"/>
        <color theme="1"/>
        <rFont val="Aptos"/>
        <family val="2"/>
      </rPr>
      <t>2</t>
    </r>
  </si>
  <si>
    <t>Error</t>
  </si>
  <si>
    <t>Define training / validation percentages</t>
  </si>
  <si>
    <t>Linear fitting of training points</t>
  </si>
  <si>
    <t>Errors</t>
  </si>
  <si>
    <t>θ</t>
  </si>
  <si>
    <t>RT8 (15mm)</t>
  </si>
  <si>
    <t>RT18</t>
  </si>
  <si>
    <t>Regression line</t>
  </si>
  <si>
    <r>
      <t>A</t>
    </r>
    <r>
      <rPr>
        <b/>
        <vertAlign val="subscript"/>
        <sz val="11"/>
        <color theme="1"/>
        <rFont val="Aptos"/>
        <family val="2"/>
      </rPr>
      <t>T</t>
    </r>
  </si>
  <si>
    <r>
      <t>A</t>
    </r>
    <r>
      <rPr>
        <b/>
        <vertAlign val="subscript"/>
        <sz val="11"/>
        <color theme="1"/>
        <rFont val="Aptos"/>
        <family val="2"/>
      </rPr>
      <t>q</t>
    </r>
  </si>
  <si>
    <t>Latent Heat Effect</t>
  </si>
  <si>
    <t>Mass Effect</t>
  </si>
  <si>
    <t>Defining the model</t>
  </si>
  <si>
    <t>Applying the model</t>
  </si>
  <si>
    <t>Adding the data of different mass and latent heat to the initial model</t>
  </si>
  <si>
    <t>Checking the fitness to the new data</t>
  </si>
  <si>
    <t>if PCM thickness is 10mm</t>
  </si>
  <si>
    <t>if PCM thickness is 15mm</t>
  </si>
  <si>
    <t>Estimated</t>
  </si>
  <si>
    <t>Error = - 10 %</t>
  </si>
  <si>
    <t>Error = - 20 %</t>
  </si>
  <si>
    <t>L (mnf)</t>
  </si>
  <si>
    <t>AT (K·s e-3)</t>
  </si>
  <si>
    <t>Aq (kJ/m2)</t>
  </si>
  <si>
    <t>Âq (kJ/m2)</t>
  </si>
  <si>
    <t>L (kJ/kg)</t>
  </si>
  <si>
    <t>L est</t>
  </si>
  <si>
    <r>
      <t xml:space="preserve">Error = </t>
    </r>
    <r>
      <rPr>
        <b/>
        <sz val="11"/>
        <color theme="0"/>
        <rFont val="Aptos Narrow"/>
        <family val="2"/>
      </rPr>
      <t>±</t>
    </r>
    <r>
      <rPr>
        <b/>
        <sz val="11"/>
        <color theme="0"/>
        <rFont val="Calibri"/>
        <family val="2"/>
      </rPr>
      <t xml:space="preserve"> 10 %</t>
    </r>
  </si>
  <si>
    <r>
      <t xml:space="preserve">Error = </t>
    </r>
    <r>
      <rPr>
        <b/>
        <sz val="11"/>
        <color theme="0"/>
        <rFont val="Aptos Narrow"/>
        <family val="2"/>
      </rPr>
      <t>±</t>
    </r>
    <r>
      <rPr>
        <b/>
        <sz val="11"/>
        <color theme="0"/>
        <rFont val="Calibri"/>
        <family val="2"/>
      </rPr>
      <t xml:space="preserve"> 20 %</t>
    </r>
  </si>
  <si>
    <r>
      <t>S</t>
    </r>
    <r>
      <rPr>
        <vertAlign val="subscript"/>
        <sz val="11"/>
        <color theme="1"/>
        <rFont val="Calibri"/>
        <family val="2"/>
        <scheme val="minor"/>
      </rPr>
      <t>PCM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</si>
  <si>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PCM</t>
    </r>
    <r>
      <rPr>
        <sz val="11"/>
        <color theme="1"/>
        <rFont val="Calibri"/>
        <family val="2"/>
        <scheme val="minor"/>
      </rPr>
      <t xml:space="preserve"> (kg)</t>
    </r>
  </si>
  <si>
    <r>
      <t>θ (W/m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K)</t>
    </r>
  </si>
  <si>
    <t>Average error (%)</t>
  </si>
  <si>
    <t xml:space="preserve"> </t>
  </si>
  <si>
    <r>
      <t xml:space="preserve">1 </t>
    </r>
    <r>
      <rPr>
        <b/>
        <sz val="18"/>
        <color theme="1"/>
        <rFont val="Calibri"/>
        <family val="2"/>
      </rPr>
      <t>°C/h</t>
    </r>
  </si>
  <si>
    <t>RT8-HC (10 mm)</t>
  </si>
  <si>
    <t>RT11-HC</t>
  </si>
  <si>
    <t>RT24-HC</t>
  </si>
  <si>
    <t>RT18-HC</t>
  </si>
  <si>
    <t>RT8-HC (15 mm)</t>
  </si>
  <si>
    <t>Test 1</t>
  </si>
  <si>
    <t>Test 2</t>
  </si>
  <si>
    <t>Test 3</t>
  </si>
  <si>
    <t>t (h)</t>
  </si>
  <si>
    <r>
      <t>q (W/m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</si>
  <si>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Begining of the solidification</t>
  </si>
  <si>
    <t>S1</t>
  </si>
  <si>
    <t>Ending of the solidification</t>
  </si>
  <si>
    <t>S2</t>
  </si>
  <si>
    <t>Begining of the melting</t>
  </si>
  <si>
    <t>M1</t>
  </si>
  <si>
    <t>Ending of the melting</t>
  </si>
  <si>
    <t>M2</t>
  </si>
  <si>
    <t>Area of the tempearture curve</t>
  </si>
  <si>
    <r>
      <t>A</t>
    </r>
    <r>
      <rPr>
        <vertAlign val="subscript"/>
        <sz val="11"/>
        <color theme="1"/>
        <rFont val="Calibri"/>
        <family val="2"/>
        <scheme val="minor"/>
      </rPr>
      <t>T</t>
    </r>
  </si>
  <si>
    <t>Area of the heat flux curve</t>
  </si>
  <si>
    <r>
      <t>A</t>
    </r>
    <r>
      <rPr>
        <vertAlign val="subscript"/>
        <sz val="11"/>
        <color theme="1"/>
        <rFont val="Calibri"/>
        <family val="2"/>
        <scheme val="minor"/>
      </rPr>
      <t>q</t>
    </r>
  </si>
  <si>
    <t>Quotient of the areas</t>
  </si>
  <si>
    <r>
      <t xml:space="preserve">0.5 </t>
    </r>
    <r>
      <rPr>
        <b/>
        <sz val="18"/>
        <color theme="1"/>
        <rFont val="Calibri"/>
        <family val="2"/>
      </rPr>
      <t>°C/h</t>
    </r>
  </si>
  <si>
    <r>
      <t>Temperature T (</t>
    </r>
    <r>
      <rPr>
        <b/>
        <sz val="11"/>
        <color theme="1"/>
        <rFont val="Calibri"/>
        <family val="2"/>
      </rPr>
      <t>°C)</t>
    </r>
  </si>
  <si>
    <r>
      <t xml:space="preserve">Heat flux </t>
    </r>
    <r>
      <rPr>
        <b/>
        <sz val="11"/>
        <color theme="1"/>
        <rFont val="Calibri"/>
        <family val="2"/>
      </rPr>
      <t>q (W/m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)</t>
    </r>
  </si>
  <si>
    <t>time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</si>
</sst>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26"/>
      <color theme="1"/>
      <name val="Aptos"/>
      <family val="2"/>
    </font>
    <font>
      <sz val="11"/>
      <color theme="0"/>
      <name val="Calibri"/>
      <family val="2"/>
      <scheme val="minor"/>
    </font>
    <font>
      <b/>
      <sz val="11"/>
      <color theme="1"/>
      <name val="Aptos"/>
      <family val="2"/>
    </font>
    <font>
      <b/>
      <vertAlign val="superscript"/>
      <sz val="11"/>
      <color theme="1"/>
      <name val="Aptos"/>
      <family val="2"/>
    </font>
    <font>
      <sz val="11"/>
      <color theme="0"/>
      <name val="Aptos"/>
      <family val="2"/>
    </font>
    <font>
      <sz val="11"/>
      <color rgb="FFEAB200"/>
      <name val="Aptos"/>
      <family val="2"/>
    </font>
    <font>
      <sz val="11"/>
      <color rgb="FF00B050"/>
      <name val="Aptos"/>
      <family val="2"/>
    </font>
    <font>
      <sz val="11"/>
      <name val="Aptos Narrow"/>
      <family val="2"/>
    </font>
    <font>
      <sz val="11"/>
      <color rgb="FF7030A0"/>
      <name val="Aptos"/>
      <family val="2"/>
    </font>
    <font>
      <b/>
      <vertAlign val="subscript"/>
      <sz val="11"/>
      <color theme="1"/>
      <name val="Aptos"/>
      <family val="2"/>
    </font>
    <font>
      <sz val="8"/>
      <name val="Calibri"/>
      <family val="2"/>
      <scheme val="minor"/>
    </font>
    <font>
      <sz val="11"/>
      <color rgb="FF000000"/>
      <name val="Aptos"/>
      <family val="2"/>
    </font>
    <font>
      <sz val="11"/>
      <color rgb="FFF1C351"/>
      <name val="Aptos"/>
      <family val="2"/>
    </font>
    <font>
      <sz val="11"/>
      <color rgb="FF0070C0"/>
      <name val="Aptos"/>
      <family val="2"/>
    </font>
    <font>
      <sz val="11"/>
      <name val="Calibri"/>
      <family val="2"/>
      <scheme val="minor"/>
    </font>
    <font>
      <b/>
      <sz val="11"/>
      <name val="Aptos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ptos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ptos Narrow"/>
      <family val="2"/>
    </font>
    <font>
      <b/>
      <sz val="11"/>
      <color theme="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2" xfId="0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1" fillId="0" borderId="0" xfId="0" applyFont="1"/>
    <xf numFmtId="0" fontId="0" fillId="0" borderId="11" xfId="0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NumberForma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</cellXfs>
  <cellStyles count="1">
    <cellStyle name="Normal" xfId="0" builtinId="0"/>
  </cellStyles>
  <dxfs count="173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rgb="FF000000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</dxfs>
  <tableStyles count="1" defaultTableStyle="TableStyleMedium2" defaultPivotStyle="PivotStyleLight16">
    <tableStyle name="Estilo de tabla 1" pivot="0" count="2" xr9:uid="{0F9162F9-EC17-4D1D-9E91-8E9D31B927A5}">
      <tableStyleElement type="wholeTable" dxfId="172"/>
      <tableStyleElement type="headerRow" dxfId="171"/>
    </tableStyle>
  </tableStyles>
  <colors>
    <mruColors>
      <color rgb="FFF1C351"/>
      <color rgb="FFA54ACA"/>
      <color rgb="FFFFE38B"/>
      <color rgb="FFA1C181"/>
      <color rgb="FF619B8A"/>
      <color rgb="FFFCCA46"/>
      <color rgb="FFFE7F2D"/>
      <color rgb="FFA47D00"/>
      <color rgb="FFD6A300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1 (dataset 1)'!$F$61:$F$120</c:f>
              <c:numCache>
                <c:formatCode>General</c:formatCode>
                <c:ptCount val="60"/>
                <c:pt idx="0">
                  <c:v>12.414593957682301</c:v>
                </c:pt>
                <c:pt idx="1">
                  <c:v>11.776659612500808</c:v>
                </c:pt>
                <c:pt idx="2">
                  <c:v>9.9350536485328842</c:v>
                </c:pt>
                <c:pt idx="3">
                  <c:v>9.3620263278695397</c:v>
                </c:pt>
                <c:pt idx="4">
                  <c:v>12.285332570093937</c:v>
                </c:pt>
                <c:pt idx="5">
                  <c:v>7.7994267951314544</c:v>
                </c:pt>
                <c:pt idx="6">
                  <c:v>7.872829771852226</c:v>
                </c:pt>
                <c:pt idx="7">
                  <c:v>13.042056671598727</c:v>
                </c:pt>
                <c:pt idx="8">
                  <c:v>8.0972999999946342</c:v>
                </c:pt>
                <c:pt idx="9">
                  <c:v>17.283599999999968</c:v>
                </c:pt>
                <c:pt idx="10">
                  <c:v>11.990650156666428</c:v>
                </c:pt>
                <c:pt idx="11">
                  <c:v>11.346010588618963</c:v>
                </c:pt>
                <c:pt idx="12">
                  <c:v>12.778499999994182</c:v>
                </c:pt>
                <c:pt idx="13">
                  <c:v>11.550733538461678</c:v>
                </c:pt>
                <c:pt idx="14">
                  <c:v>11.275199999993378</c:v>
                </c:pt>
                <c:pt idx="15">
                  <c:v>9.2355319538814236</c:v>
                </c:pt>
                <c:pt idx="16">
                  <c:v>7.7242423058830347</c:v>
                </c:pt>
                <c:pt idx="17">
                  <c:v>14.158822452174912</c:v>
                </c:pt>
                <c:pt idx="18">
                  <c:v>6.9327748784655023</c:v>
                </c:pt>
                <c:pt idx="19">
                  <c:v>19.086000000000098</c:v>
                </c:pt>
                <c:pt idx="20">
                  <c:v>8.9898000000008071</c:v>
                </c:pt>
                <c:pt idx="21">
                  <c:v>17.790648849835058</c:v>
                </c:pt>
                <c:pt idx="22">
                  <c:v>10.128440696018268</c:v>
                </c:pt>
                <c:pt idx="23">
                  <c:v>14.747651848983457</c:v>
                </c:pt>
                <c:pt idx="24">
                  <c:v>13.394999999995163</c:v>
                </c:pt>
              </c:numCache>
            </c:numRef>
          </c:xVal>
          <c:yVal>
            <c:numRef>
              <c:f>'Trial 1 (dataset 1)'!$G$61:$G$120</c:f>
              <c:numCache>
                <c:formatCode>General</c:formatCode>
                <c:ptCount val="60"/>
                <c:pt idx="0">
                  <c:v>251.89549266775174</c:v>
                </c:pt>
                <c:pt idx="1">
                  <c:v>233.47361453749977</c:v>
                </c:pt>
                <c:pt idx="2">
                  <c:v>186.1133247973641</c:v>
                </c:pt>
                <c:pt idx="3">
                  <c:v>159.24805774971134</c:v>
                </c:pt>
                <c:pt idx="4">
                  <c:v>256.57732728687955</c:v>
                </c:pt>
                <c:pt idx="5">
                  <c:v>182.63889794765294</c:v>
                </c:pt>
                <c:pt idx="6">
                  <c:v>156.15565369073173</c:v>
                </c:pt>
                <c:pt idx="7">
                  <c:v>266.10625346834951</c:v>
                </c:pt>
                <c:pt idx="8">
                  <c:v>166.90619999999905</c:v>
                </c:pt>
                <c:pt idx="9">
                  <c:v>360.78210000000007</c:v>
                </c:pt>
                <c:pt idx="10">
                  <c:v>261.17692526275397</c:v>
                </c:pt>
                <c:pt idx="11">
                  <c:v>205.62869365733505</c:v>
                </c:pt>
                <c:pt idx="12">
                  <c:v>247.45169999999919</c:v>
                </c:pt>
                <c:pt idx="13">
                  <c:v>217.63550879854768</c:v>
                </c:pt>
                <c:pt idx="14">
                  <c:v>242.68199999999433</c:v>
                </c:pt>
                <c:pt idx="15">
                  <c:v>177.19746032724149</c:v>
                </c:pt>
                <c:pt idx="16">
                  <c:v>178.55986063999981</c:v>
                </c:pt>
                <c:pt idx="17">
                  <c:v>270.25498746086953</c:v>
                </c:pt>
                <c:pt idx="18">
                  <c:v>136.08228581679037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369.31674307917132</c:v>
                </c:pt>
                <c:pt idx="22">
                  <c:v>212.52860331422897</c:v>
                </c:pt>
                <c:pt idx="23">
                  <c:v>292.58543252599304</c:v>
                </c:pt>
                <c:pt idx="24">
                  <c:v>240.30809999999769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0-47E4-8EDF-CDA880C7A928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1 (dataset 1)'!$F$124:$F$183</c:f>
              <c:numCache>
                <c:formatCode>General</c:formatCode>
                <c:ptCount val="60"/>
                <c:pt idx="0">
                  <c:v>6.9743999999999957</c:v>
                </c:pt>
                <c:pt idx="1">
                  <c:v>11.275199999993378</c:v>
                </c:pt>
                <c:pt idx="2">
                  <c:v>11.370389065312704</c:v>
                </c:pt>
                <c:pt idx="3">
                  <c:v>12.827573007786603</c:v>
                </c:pt>
                <c:pt idx="4">
                  <c:v>15.972408843058197</c:v>
                </c:pt>
                <c:pt idx="5">
                  <c:v>7.7868000000008877</c:v>
                </c:pt>
                <c:pt idx="6">
                  <c:v>17.790648849835058</c:v>
                </c:pt>
                <c:pt idx="7">
                  <c:v>11.393531322500698</c:v>
                </c:pt>
                <c:pt idx="8">
                  <c:v>12.236660066643104</c:v>
                </c:pt>
                <c:pt idx="9">
                  <c:v>6.6891725519443357</c:v>
                </c:pt>
                <c:pt idx="10">
                  <c:v>11.064381075029758</c:v>
                </c:pt>
              </c:numCache>
            </c:numRef>
          </c:xVal>
          <c:yVal>
            <c:numRef>
              <c:f>'Trial 1 (dataset 1)'!$G$124:$G$151</c:f>
              <c:numCache>
                <c:formatCode>General</c:formatCode>
                <c:ptCount val="28"/>
                <c:pt idx="0">
                  <c:v>169.83240000000001</c:v>
                </c:pt>
                <c:pt idx="1">
                  <c:v>242.68199999999433</c:v>
                </c:pt>
                <c:pt idx="2">
                  <c:v>218.07088535308668</c:v>
                </c:pt>
                <c:pt idx="3">
                  <c:v>256.02550949111617</c:v>
                </c:pt>
                <c:pt idx="4">
                  <c:v>309.82490270263128</c:v>
                </c:pt>
                <c:pt idx="5">
                  <c:v>134.81040000000056</c:v>
                </c:pt>
                <c:pt idx="6">
                  <c:v>369.31674307917132</c:v>
                </c:pt>
                <c:pt idx="7">
                  <c:v>236.18810812499981</c:v>
                </c:pt>
                <c:pt idx="8">
                  <c:v>246.42412532412126</c:v>
                </c:pt>
                <c:pt idx="9">
                  <c:v>134.90327528622092</c:v>
                </c:pt>
                <c:pt idx="10">
                  <c:v>222.77243533078848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0-47E4-8EDF-CDA880C7A928}"/>
            </c:ext>
          </c:extLst>
        </c:ser>
        <c:ser>
          <c:idx val="2"/>
          <c:order val="2"/>
          <c:tx>
            <c:strRef>
              <c:f>'Trial 1 (dataset 1)'!$B$15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1 (dataset 1)'!$B$17:$B$18</c:f>
              <c:numCache>
                <c:formatCode>General</c:formatCode>
                <c:ptCount val="2"/>
                <c:pt idx="0">
                  <c:v>6.5</c:v>
                </c:pt>
                <c:pt idx="1">
                  <c:v>19.3</c:v>
                </c:pt>
              </c:numCache>
            </c:numRef>
          </c:xVal>
          <c:yVal>
            <c:numRef>
              <c:f>'Trial 1 (dataset 1)'!$C$17:$C$18</c:f>
              <c:numCache>
                <c:formatCode>General</c:formatCode>
                <c:ptCount val="2"/>
                <c:pt idx="0">
                  <c:v>130.50885610938022</c:v>
                </c:pt>
                <c:pt idx="1">
                  <c:v>387.51091121708288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0-47E4-8EDF-CDA880C7A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2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654993221661973"/>
          <c:y val="6.1889940482310779E-2"/>
          <c:w val="0.39128522279184974"/>
          <c:h val="0.1452159866544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1 (dataset 1)'!$O$61:$O$130</c:f>
              <c:numCache>
                <c:formatCode>General</c:formatCode>
                <c:ptCount val="70"/>
                <c:pt idx="0">
                  <c:v>251.89549266775174</c:v>
                </c:pt>
                <c:pt idx="1">
                  <c:v>233.47361453749977</c:v>
                </c:pt>
                <c:pt idx="2">
                  <c:v>186.1133247973641</c:v>
                </c:pt>
                <c:pt idx="3">
                  <c:v>159.24805774971134</c:v>
                </c:pt>
                <c:pt idx="4">
                  <c:v>256.57732728687955</c:v>
                </c:pt>
                <c:pt idx="5">
                  <c:v>182.63889794765294</c:v>
                </c:pt>
                <c:pt idx="6">
                  <c:v>156.15565369073173</c:v>
                </c:pt>
                <c:pt idx="7">
                  <c:v>266.10625346834951</c:v>
                </c:pt>
                <c:pt idx="8">
                  <c:v>166.90619999999905</c:v>
                </c:pt>
                <c:pt idx="9">
                  <c:v>360.78210000000007</c:v>
                </c:pt>
                <c:pt idx="10">
                  <c:v>261.17692526275397</c:v>
                </c:pt>
                <c:pt idx="11">
                  <c:v>205.62869365733505</c:v>
                </c:pt>
                <c:pt idx="12">
                  <c:v>247.45169999999919</c:v>
                </c:pt>
                <c:pt idx="13">
                  <c:v>217.63550879854768</c:v>
                </c:pt>
                <c:pt idx="14">
                  <c:v>242.68199999999433</c:v>
                </c:pt>
                <c:pt idx="15">
                  <c:v>177.19746032724149</c:v>
                </c:pt>
                <c:pt idx="16">
                  <c:v>178.55986063999981</c:v>
                </c:pt>
                <c:pt idx="17">
                  <c:v>270.25498746086953</c:v>
                </c:pt>
                <c:pt idx="18">
                  <c:v>136.08228581679037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369.31674307917132</c:v>
                </c:pt>
                <c:pt idx="22">
                  <c:v>212.52860331422897</c:v>
                </c:pt>
                <c:pt idx="23">
                  <c:v>292.58543252599304</c:v>
                </c:pt>
                <c:pt idx="24">
                  <c:v>240.30809999999769</c:v>
                </c:pt>
                <c:pt idx="63">
                  <c:v>169.83240000000001</c:v>
                </c:pt>
                <c:pt idx="64">
                  <c:v>242.68199999999433</c:v>
                </c:pt>
                <c:pt idx="65">
                  <c:v>218.07088535308668</c:v>
                </c:pt>
                <c:pt idx="66">
                  <c:v>256.02550949111617</c:v>
                </c:pt>
                <c:pt idx="67">
                  <c:v>309.82490270263128</c:v>
                </c:pt>
                <c:pt idx="68">
                  <c:v>134.81040000000056</c:v>
                </c:pt>
                <c:pt idx="69">
                  <c:v>369.31674307917132</c:v>
                </c:pt>
              </c:numCache>
            </c:numRef>
          </c:xVal>
          <c:yVal>
            <c:numRef>
              <c:f>'Trial 1 (dataset 1)'!$P$61:$P$130</c:f>
              <c:numCache>
                <c:formatCode>General</c:formatCode>
                <c:ptCount val="70"/>
                <c:pt idx="0">
                  <c:v>249.26376253531396</c:v>
                </c:pt>
                <c:pt idx="1">
                  <c:v>236.45513458723346</c:v>
                </c:pt>
                <c:pt idx="2">
                  <c:v>199.47884416236172</c:v>
                </c:pt>
                <c:pt idx="3">
                  <c:v>187.97343798710079</c:v>
                </c:pt>
                <c:pt idx="4">
                  <c:v>246.66841548404184</c:v>
                </c:pt>
                <c:pt idx="5">
                  <c:v>156.59911836022394</c:v>
                </c:pt>
                <c:pt idx="6">
                  <c:v>158.07292428743185</c:v>
                </c:pt>
                <c:pt idx="7">
                  <c:v>261.86213808062473</c:v>
                </c:pt>
                <c:pt idx="8">
                  <c:v>162.57990162673605</c:v>
                </c:pt>
                <c:pt idx="9">
                  <c:v>347.02505622339692</c:v>
                </c:pt>
                <c:pt idx="10">
                  <c:v>240.75169783912253</c:v>
                </c:pt>
                <c:pt idx="11">
                  <c:v>227.8084405116272</c:v>
                </c:pt>
                <c:pt idx="12">
                  <c:v>256.57037196814707</c:v>
                </c:pt>
                <c:pt idx="13">
                  <c:v>231.91892635829038</c:v>
                </c:pt>
                <c:pt idx="14">
                  <c:v>226.38668529286457</c:v>
                </c:pt>
                <c:pt idx="15">
                  <c:v>185.43364782502985</c:v>
                </c:pt>
                <c:pt idx="16">
                  <c:v>155.08954271576559</c:v>
                </c:pt>
                <c:pt idx="17">
                  <c:v>284.28488032140888</c:v>
                </c:pt>
                <c:pt idx="18">
                  <c:v>139.19823370036619</c:v>
                </c:pt>
                <c:pt idx="19">
                  <c:v>383.21415810825289</c:v>
                </c:pt>
                <c:pt idx="20">
                  <c:v>180.49977148495566</c:v>
                </c:pt>
                <c:pt idx="21">
                  <c:v>357.20572782086685</c:v>
                </c:pt>
                <c:pt idx="22">
                  <c:v>203.36172452446755</c:v>
                </c:pt>
                <c:pt idx="23">
                  <c:v>296.1075650938796</c:v>
                </c:pt>
                <c:pt idx="24">
                  <c:v>268.94863501300262</c:v>
                </c:pt>
                <c:pt idx="63">
                  <c:v>140.03399477680938</c:v>
                </c:pt>
                <c:pt idx="64">
                  <c:v>226.38668529286457</c:v>
                </c:pt>
                <c:pt idx="65">
                  <c:v>228.29791852808708</c:v>
                </c:pt>
                <c:pt idx="66">
                  <c:v>257.55567383166022</c:v>
                </c:pt>
                <c:pt idx="67">
                  <c:v>320.69858575674994</c:v>
                </c:pt>
                <c:pt idx="68">
                  <c:v>156.34559396194427</c:v>
                </c:pt>
                <c:pt idx="69">
                  <c:v>357.20572782086685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6-4BF6-8F95-FA75C1CB4043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1 (dataset 1)'!$O$124:$O$183</c:f>
              <c:numCache>
                <c:formatCode>General</c:formatCode>
                <c:ptCount val="60"/>
                <c:pt idx="0">
                  <c:v>169.83240000000001</c:v>
                </c:pt>
                <c:pt idx="1">
                  <c:v>242.68199999999433</c:v>
                </c:pt>
                <c:pt idx="2">
                  <c:v>218.07088535308668</c:v>
                </c:pt>
                <c:pt idx="3">
                  <c:v>256.02550949111617</c:v>
                </c:pt>
                <c:pt idx="4">
                  <c:v>309.82490270263128</c:v>
                </c:pt>
                <c:pt idx="5">
                  <c:v>134.81040000000056</c:v>
                </c:pt>
                <c:pt idx="6">
                  <c:v>369.31674307917132</c:v>
                </c:pt>
                <c:pt idx="7">
                  <c:v>236.18810812499981</c:v>
                </c:pt>
                <c:pt idx="8">
                  <c:v>246.42412532412126</c:v>
                </c:pt>
                <c:pt idx="9">
                  <c:v>134.90327528622092</c:v>
                </c:pt>
                <c:pt idx="10">
                  <c:v>222.77243533078848</c:v>
                </c:pt>
              </c:numCache>
            </c:numRef>
          </c:xVal>
          <c:yVal>
            <c:numRef>
              <c:f>'Trial 1 (dataset 1)'!$P$124:$P$183</c:f>
              <c:numCache>
                <c:formatCode>General</c:formatCode>
                <c:ptCount val="60"/>
                <c:pt idx="0">
                  <c:v>140.03399477680938</c:v>
                </c:pt>
                <c:pt idx="1">
                  <c:v>226.38668529286457</c:v>
                </c:pt>
                <c:pt idx="2">
                  <c:v>228.29791852808708</c:v>
                </c:pt>
                <c:pt idx="3">
                  <c:v>257.55567383166022</c:v>
                </c:pt>
                <c:pt idx="4">
                  <c:v>320.69858575674994</c:v>
                </c:pt>
                <c:pt idx="5">
                  <c:v>156.34559396194427</c:v>
                </c:pt>
                <c:pt idx="6">
                  <c:v>357.20572782086685</c:v>
                </c:pt>
                <c:pt idx="7">
                  <c:v>228.76257537630156</c:v>
                </c:pt>
                <c:pt idx="8">
                  <c:v>245.69115506106522</c:v>
                </c:pt>
                <c:pt idx="9">
                  <c:v>134.30711662654139</c:v>
                </c:pt>
                <c:pt idx="10">
                  <c:v>222.15380271698589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6-4BF6-8F95-FA75C1CB4043}"/>
            </c:ext>
          </c:extLst>
        </c:ser>
        <c:ser>
          <c:idx val="2"/>
          <c:order val="2"/>
          <c:tx>
            <c:v>Measured = Expected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726-4BF6-8F95-FA75C1CB4043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1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1 (dataset 1)'!$S$16:$S$17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26-4BF6-8F95-FA75C1CB4043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'Trial 1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1 (dataset 1)'!$T$16:$T$17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26-4BF6-8F95-FA75C1CB4043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1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1 (dataset 1)'!$Q$16:$Q$17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26-4BF6-8F95-FA75C1CB4043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'Trial 1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1 (dataset 1)'!$R$16:$R$17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26-4BF6-8F95-FA75C1CB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8457283950617284"/>
          <c:y val="3.9567024551829068E-2"/>
          <c:w val="0.33725835378064745"/>
          <c:h val="0.21128980904587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2 (dataset 1)'!$F$61:$F$120</c:f>
              <c:numCache>
                <c:formatCode>General</c:formatCode>
                <c:ptCount val="60"/>
                <c:pt idx="0">
                  <c:v>17.790648849835058</c:v>
                </c:pt>
                <c:pt idx="1">
                  <c:v>14.158822452174912</c:v>
                </c:pt>
                <c:pt idx="2">
                  <c:v>8.0972999999946342</c:v>
                </c:pt>
                <c:pt idx="3">
                  <c:v>7.872829771852226</c:v>
                </c:pt>
                <c:pt idx="4">
                  <c:v>11.275199999993378</c:v>
                </c:pt>
                <c:pt idx="5">
                  <c:v>9.3620263278695397</c:v>
                </c:pt>
                <c:pt idx="6">
                  <c:v>11.370389065312704</c:v>
                </c:pt>
                <c:pt idx="7">
                  <c:v>15.972408843058197</c:v>
                </c:pt>
                <c:pt idx="8">
                  <c:v>6.6891725519443357</c:v>
                </c:pt>
                <c:pt idx="9">
                  <c:v>11.550733538461678</c:v>
                </c:pt>
                <c:pt idx="10">
                  <c:v>12.414593957682301</c:v>
                </c:pt>
                <c:pt idx="11">
                  <c:v>11.275199999993378</c:v>
                </c:pt>
                <c:pt idx="12">
                  <c:v>6.9743999999999957</c:v>
                </c:pt>
                <c:pt idx="13">
                  <c:v>8.9898000000008071</c:v>
                </c:pt>
                <c:pt idx="14">
                  <c:v>9.2355319538814236</c:v>
                </c:pt>
                <c:pt idx="15">
                  <c:v>13.042056671598727</c:v>
                </c:pt>
                <c:pt idx="16">
                  <c:v>6.9327748784655023</c:v>
                </c:pt>
                <c:pt idx="17">
                  <c:v>7.7994267951314544</c:v>
                </c:pt>
                <c:pt idx="18">
                  <c:v>12.236660066643104</c:v>
                </c:pt>
                <c:pt idx="19">
                  <c:v>12.285332570093937</c:v>
                </c:pt>
                <c:pt idx="20">
                  <c:v>13.394999999995163</c:v>
                </c:pt>
                <c:pt idx="21">
                  <c:v>12.778499999994182</c:v>
                </c:pt>
                <c:pt idx="22">
                  <c:v>11.776659612500808</c:v>
                </c:pt>
                <c:pt idx="23">
                  <c:v>11.393531322500698</c:v>
                </c:pt>
                <c:pt idx="24">
                  <c:v>11.064381075029758</c:v>
                </c:pt>
              </c:numCache>
            </c:numRef>
          </c:xVal>
          <c:yVal>
            <c:numRef>
              <c:f>'Trial 2 (dataset 1)'!$G$61:$G$120</c:f>
              <c:numCache>
                <c:formatCode>General</c:formatCode>
                <c:ptCount val="60"/>
                <c:pt idx="0">
                  <c:v>369.31674307917132</c:v>
                </c:pt>
                <c:pt idx="1">
                  <c:v>270.25498746086953</c:v>
                </c:pt>
                <c:pt idx="2">
                  <c:v>166.90619999999905</c:v>
                </c:pt>
                <c:pt idx="3">
                  <c:v>156.15565369073173</c:v>
                </c:pt>
                <c:pt idx="4">
                  <c:v>242.68199999999433</c:v>
                </c:pt>
                <c:pt idx="5">
                  <c:v>159.24805774971134</c:v>
                </c:pt>
                <c:pt idx="6">
                  <c:v>218.07088535308668</c:v>
                </c:pt>
                <c:pt idx="7">
                  <c:v>309.82490270263128</c:v>
                </c:pt>
                <c:pt idx="8">
                  <c:v>134.90327528622092</c:v>
                </c:pt>
                <c:pt idx="9">
                  <c:v>217.63550879854768</c:v>
                </c:pt>
                <c:pt idx="10">
                  <c:v>251.89549266775174</c:v>
                </c:pt>
                <c:pt idx="11">
                  <c:v>242.68199999999433</c:v>
                </c:pt>
                <c:pt idx="12">
                  <c:v>169.83240000000001</c:v>
                </c:pt>
                <c:pt idx="13">
                  <c:v>184.20239999999984</c:v>
                </c:pt>
                <c:pt idx="14">
                  <c:v>177.19746032724149</c:v>
                </c:pt>
                <c:pt idx="15">
                  <c:v>266.10625346834951</c:v>
                </c:pt>
                <c:pt idx="16">
                  <c:v>136.08228581679037</c:v>
                </c:pt>
                <c:pt idx="17">
                  <c:v>182.63889794765294</c:v>
                </c:pt>
                <c:pt idx="18">
                  <c:v>246.42412532412126</c:v>
                </c:pt>
                <c:pt idx="19">
                  <c:v>256.57732728687955</c:v>
                </c:pt>
                <c:pt idx="20">
                  <c:v>240.30809999999769</c:v>
                </c:pt>
                <c:pt idx="21">
                  <c:v>247.45169999999919</c:v>
                </c:pt>
                <c:pt idx="22">
                  <c:v>233.47361453749977</c:v>
                </c:pt>
                <c:pt idx="23">
                  <c:v>236.18810812499981</c:v>
                </c:pt>
                <c:pt idx="24">
                  <c:v>222.77243533078848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A-44F5-BC6C-B864E996C276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2 (dataset 1)'!$F$124:$F$183</c:f>
              <c:numCache>
                <c:formatCode>General</c:formatCode>
                <c:ptCount val="60"/>
                <c:pt idx="0">
                  <c:v>10.128440696018268</c:v>
                </c:pt>
                <c:pt idx="1">
                  <c:v>17.283599999999968</c:v>
                </c:pt>
                <c:pt idx="2">
                  <c:v>7.7242423058830347</c:v>
                </c:pt>
                <c:pt idx="3">
                  <c:v>17.790648849835058</c:v>
                </c:pt>
                <c:pt idx="4">
                  <c:v>14.747651848983457</c:v>
                </c:pt>
                <c:pt idx="5">
                  <c:v>12.827573007786603</c:v>
                </c:pt>
                <c:pt idx="6">
                  <c:v>9.9350536485328842</c:v>
                </c:pt>
                <c:pt idx="7">
                  <c:v>7.7868000000008877</c:v>
                </c:pt>
                <c:pt idx="8">
                  <c:v>11.990650156666428</c:v>
                </c:pt>
                <c:pt idx="9">
                  <c:v>11.346010588618963</c:v>
                </c:pt>
                <c:pt idx="10">
                  <c:v>19.086000000000098</c:v>
                </c:pt>
              </c:numCache>
            </c:numRef>
          </c:xVal>
          <c:yVal>
            <c:numRef>
              <c:f>'Trial 2 (dataset 1)'!$G$124:$G$151</c:f>
              <c:numCache>
                <c:formatCode>General</c:formatCode>
                <c:ptCount val="28"/>
                <c:pt idx="0">
                  <c:v>212.52860331422897</c:v>
                </c:pt>
                <c:pt idx="1">
                  <c:v>360.78210000000007</c:v>
                </c:pt>
                <c:pt idx="2">
                  <c:v>178.55986063999981</c:v>
                </c:pt>
                <c:pt idx="3">
                  <c:v>369.31674307917132</c:v>
                </c:pt>
                <c:pt idx="4">
                  <c:v>292.58543252599304</c:v>
                </c:pt>
                <c:pt idx="5">
                  <c:v>256.02550949111617</c:v>
                </c:pt>
                <c:pt idx="6">
                  <c:v>186.1133247973641</c:v>
                </c:pt>
                <c:pt idx="7">
                  <c:v>134.81040000000056</c:v>
                </c:pt>
                <c:pt idx="8">
                  <c:v>261.17692526275397</c:v>
                </c:pt>
                <c:pt idx="9">
                  <c:v>205.62869365733505</c:v>
                </c:pt>
                <c:pt idx="10">
                  <c:v>387.39479999999998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A-44F5-BC6C-B864E996C276}"/>
            </c:ext>
          </c:extLst>
        </c:ser>
        <c:ser>
          <c:idx val="2"/>
          <c:order val="2"/>
          <c:tx>
            <c:strRef>
              <c:f>'Trial 2 (dataset 1)'!$B$15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2 (dataset 1)'!$B$17:$B$18</c:f>
              <c:numCache>
                <c:formatCode>General</c:formatCode>
                <c:ptCount val="2"/>
                <c:pt idx="0">
                  <c:v>6.5</c:v>
                </c:pt>
                <c:pt idx="1">
                  <c:v>17.899999999999999</c:v>
                </c:pt>
              </c:numCache>
            </c:numRef>
          </c:xVal>
          <c:yVal>
            <c:numRef>
              <c:f>'Trial 2 (dataset 1)'!$C$17:$C$18</c:f>
              <c:numCache>
                <c:formatCode>General</c:formatCode>
                <c:ptCount val="2"/>
                <c:pt idx="0">
                  <c:v>130.11813276163028</c:v>
                </c:pt>
                <c:pt idx="1">
                  <c:v>358.32531945125874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A-44F5-BC6C-B864E996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2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654993221661973"/>
          <c:y val="6.1889940482310779E-2"/>
          <c:w val="0.39128522279184974"/>
          <c:h val="0.1452159866544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2 (dataset 1)'!$O$61:$O$130</c:f>
              <c:numCache>
                <c:formatCode>General</c:formatCode>
                <c:ptCount val="70"/>
                <c:pt idx="0">
                  <c:v>369.31674307917132</c:v>
                </c:pt>
                <c:pt idx="1">
                  <c:v>270.25498746086953</c:v>
                </c:pt>
                <c:pt idx="2">
                  <c:v>166.90619999999905</c:v>
                </c:pt>
                <c:pt idx="3">
                  <c:v>156.15565369073173</c:v>
                </c:pt>
                <c:pt idx="4">
                  <c:v>242.68199999999433</c:v>
                </c:pt>
                <c:pt idx="5">
                  <c:v>159.24805774971134</c:v>
                </c:pt>
                <c:pt idx="6">
                  <c:v>218.07088535308668</c:v>
                </c:pt>
                <c:pt idx="7">
                  <c:v>309.82490270263128</c:v>
                </c:pt>
                <c:pt idx="8">
                  <c:v>134.90327528622092</c:v>
                </c:pt>
                <c:pt idx="9">
                  <c:v>217.63550879854768</c:v>
                </c:pt>
                <c:pt idx="10">
                  <c:v>251.89549266775174</c:v>
                </c:pt>
                <c:pt idx="11">
                  <c:v>242.68199999999433</c:v>
                </c:pt>
                <c:pt idx="12">
                  <c:v>169.83240000000001</c:v>
                </c:pt>
                <c:pt idx="13">
                  <c:v>184.20239999999984</c:v>
                </c:pt>
                <c:pt idx="14">
                  <c:v>177.19746032724149</c:v>
                </c:pt>
                <c:pt idx="15">
                  <c:v>266.10625346834951</c:v>
                </c:pt>
                <c:pt idx="16">
                  <c:v>136.08228581679037</c:v>
                </c:pt>
                <c:pt idx="17">
                  <c:v>182.63889794765294</c:v>
                </c:pt>
                <c:pt idx="18">
                  <c:v>246.42412532412126</c:v>
                </c:pt>
                <c:pt idx="19">
                  <c:v>256.57732728687955</c:v>
                </c:pt>
                <c:pt idx="20">
                  <c:v>240.30809999999769</c:v>
                </c:pt>
                <c:pt idx="21">
                  <c:v>247.45169999999919</c:v>
                </c:pt>
                <c:pt idx="22">
                  <c:v>233.47361453749977</c:v>
                </c:pt>
                <c:pt idx="23">
                  <c:v>236.18810812499981</c:v>
                </c:pt>
                <c:pt idx="24">
                  <c:v>222.77243533078848</c:v>
                </c:pt>
                <c:pt idx="63">
                  <c:v>212.52860331422897</c:v>
                </c:pt>
                <c:pt idx="64">
                  <c:v>360.78210000000007</c:v>
                </c:pt>
                <c:pt idx="65">
                  <c:v>178.55986063999981</c:v>
                </c:pt>
                <c:pt idx="66">
                  <c:v>369.31674307917132</c:v>
                </c:pt>
                <c:pt idx="67">
                  <c:v>292.58543252599304</c:v>
                </c:pt>
                <c:pt idx="68">
                  <c:v>256.02550949111617</c:v>
                </c:pt>
                <c:pt idx="69">
                  <c:v>186.1133247973641</c:v>
                </c:pt>
              </c:numCache>
            </c:numRef>
          </c:xVal>
          <c:yVal>
            <c:numRef>
              <c:f>'Trial 2 (dataset 1)'!$P$61:$P$130</c:f>
              <c:numCache>
                <c:formatCode>General</c:formatCode>
                <c:ptCount val="70"/>
                <c:pt idx="0">
                  <c:v>356.1363090705205</c:v>
                </c:pt>
                <c:pt idx="1">
                  <c:v>283.43377532006872</c:v>
                </c:pt>
                <c:pt idx="2">
                  <c:v>162.09316252462318</c:v>
                </c:pt>
                <c:pt idx="3">
                  <c:v>157.59967837901283</c:v>
                </c:pt>
                <c:pt idx="4">
                  <c:v>225.70891854047264</c:v>
                </c:pt>
                <c:pt idx="5">
                  <c:v>187.41067456117028</c:v>
                </c:pt>
                <c:pt idx="6">
                  <c:v>227.61442983873042</c:v>
                </c:pt>
                <c:pt idx="7">
                  <c:v>319.73846374832061</c:v>
                </c:pt>
                <c:pt idx="8">
                  <c:v>133.9050218737456</c:v>
                </c:pt>
                <c:pt idx="9">
                  <c:v>231.22459693104187</c:v>
                </c:pt>
                <c:pt idx="10">
                  <c:v>248.51750534883675</c:v>
                </c:pt>
                <c:pt idx="11">
                  <c:v>225.70891854047264</c:v>
                </c:pt>
                <c:pt idx="12">
                  <c:v>139.61475463580211</c:v>
                </c:pt>
                <c:pt idx="13">
                  <c:v>179.95938306163214</c:v>
                </c:pt>
                <c:pt idx="14">
                  <c:v>184.87848813837257</c:v>
                </c:pt>
                <c:pt idx="15">
                  <c:v>261.07816330458297</c:v>
                </c:pt>
                <c:pt idx="16">
                  <c:v>138.78149569887222</c:v>
                </c:pt>
                <c:pt idx="17">
                  <c:v>156.13028479900481</c:v>
                </c:pt>
                <c:pt idx="18">
                  <c:v>244.9555937092934</c:v>
                </c:pt>
                <c:pt idx="19">
                  <c:v>245.929928365579</c:v>
                </c:pt>
                <c:pt idx="20">
                  <c:v>268.14344436021668</c:v>
                </c:pt>
                <c:pt idx="21">
                  <c:v>255.80223992211316</c:v>
                </c:pt>
                <c:pt idx="22">
                  <c:v>235.74722445352455</c:v>
                </c:pt>
                <c:pt idx="23">
                  <c:v>228.07769557614444</c:v>
                </c:pt>
                <c:pt idx="24">
                  <c:v>221.48870856092179</c:v>
                </c:pt>
                <c:pt idx="63">
                  <c:v>202.75289094658524</c:v>
                </c:pt>
                <c:pt idx="64">
                  <c:v>345.98611683060136</c:v>
                </c:pt>
                <c:pt idx="65">
                  <c:v>154.6252285907523</c:v>
                </c:pt>
                <c:pt idx="66">
                  <c:v>356.1363090705205</c:v>
                </c:pt>
                <c:pt idx="67">
                  <c:v>295.22106480128184</c:v>
                </c:pt>
                <c:pt idx="68">
                  <c:v>256.78459194410499</c:v>
                </c:pt>
                <c:pt idx="69">
                  <c:v>198.88163532826479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C-4824-91E2-C31C0C7667BC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2 (dataset 1)'!$O$124:$O$183</c:f>
              <c:numCache>
                <c:formatCode>General</c:formatCode>
                <c:ptCount val="60"/>
                <c:pt idx="0">
                  <c:v>212.52860331422897</c:v>
                </c:pt>
                <c:pt idx="1">
                  <c:v>360.78210000000007</c:v>
                </c:pt>
                <c:pt idx="2">
                  <c:v>178.55986063999981</c:v>
                </c:pt>
                <c:pt idx="3">
                  <c:v>369.31674307917132</c:v>
                </c:pt>
                <c:pt idx="4">
                  <c:v>292.58543252599304</c:v>
                </c:pt>
                <c:pt idx="5">
                  <c:v>256.02550949111617</c:v>
                </c:pt>
                <c:pt idx="6">
                  <c:v>186.1133247973641</c:v>
                </c:pt>
                <c:pt idx="7">
                  <c:v>134.81040000000056</c:v>
                </c:pt>
                <c:pt idx="8">
                  <c:v>261.17692526275397</c:v>
                </c:pt>
                <c:pt idx="9">
                  <c:v>205.62869365733505</c:v>
                </c:pt>
                <c:pt idx="10">
                  <c:v>387.39479999999998</c:v>
                </c:pt>
              </c:numCache>
            </c:numRef>
          </c:xVal>
          <c:yVal>
            <c:numRef>
              <c:f>'Trial 2 (dataset 1)'!$P$124:$P$183</c:f>
              <c:numCache>
                <c:formatCode>General</c:formatCode>
                <c:ptCount val="60"/>
                <c:pt idx="0">
                  <c:v>202.75289094658524</c:v>
                </c:pt>
                <c:pt idx="1">
                  <c:v>345.98611683060136</c:v>
                </c:pt>
                <c:pt idx="2">
                  <c:v>154.6252285907523</c:v>
                </c:pt>
                <c:pt idx="3">
                  <c:v>356.1363090705205</c:v>
                </c:pt>
                <c:pt idx="4">
                  <c:v>295.22106480128184</c:v>
                </c:pt>
                <c:pt idx="5">
                  <c:v>256.78459194410499</c:v>
                </c:pt>
                <c:pt idx="6">
                  <c:v>198.88163532826479</c:v>
                </c:pt>
                <c:pt idx="7">
                  <c:v>155.87751941359664</c:v>
                </c:pt>
                <c:pt idx="8">
                  <c:v>240.03092445898235</c:v>
                </c:pt>
                <c:pt idx="9">
                  <c:v>227.12641724381311</c:v>
                </c:pt>
                <c:pt idx="10">
                  <c:v>382.0668741366905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C-4824-91E2-C31C0C7667BC}"/>
            </c:ext>
          </c:extLst>
        </c:ser>
        <c:ser>
          <c:idx val="2"/>
          <c:order val="2"/>
          <c:tx>
            <c:v>Measured = Expected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F8C-4824-91E2-C31C0C7667BC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2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2 (dataset 1)'!$S$16:$S$17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C-4824-91E2-C31C0C7667BC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'Trial 2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2 (dataset 1)'!$T$16:$T$17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C-4824-91E2-C31C0C7667BC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2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2 (dataset 1)'!$Q$16:$Q$17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C-4824-91E2-C31C0C7667BC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8C-4824-91E2-C31C0C7667BC}"/>
              </c:ext>
            </c:extLst>
          </c:dPt>
          <c:xVal>
            <c:numRef>
              <c:f>'Trial 2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2 (dataset 1)'!$R$16:$R$17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8C-4824-91E2-C31C0C766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8457283950617284"/>
          <c:y val="3.9567024551829068E-2"/>
          <c:w val="0.33725835378064745"/>
          <c:h val="0.21128980904587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3 (dataset 1)'!$F$61:$F$120</c:f>
              <c:numCache>
                <c:formatCode>General</c:formatCode>
                <c:ptCount val="60"/>
                <c:pt idx="0">
                  <c:v>12.414593957682301</c:v>
                </c:pt>
                <c:pt idx="1">
                  <c:v>9.9350536485328842</c:v>
                </c:pt>
                <c:pt idx="2">
                  <c:v>11.275199999993378</c:v>
                </c:pt>
                <c:pt idx="3">
                  <c:v>11.064381075029758</c:v>
                </c:pt>
                <c:pt idx="4">
                  <c:v>11.990650156666428</c:v>
                </c:pt>
                <c:pt idx="5">
                  <c:v>12.827573007786603</c:v>
                </c:pt>
                <c:pt idx="6">
                  <c:v>17.790648849835058</c:v>
                </c:pt>
                <c:pt idx="7">
                  <c:v>9.3620263278695397</c:v>
                </c:pt>
                <c:pt idx="8">
                  <c:v>11.393531322500698</c:v>
                </c:pt>
                <c:pt idx="9">
                  <c:v>6.9743999999999957</c:v>
                </c:pt>
                <c:pt idx="10">
                  <c:v>12.236660066643104</c:v>
                </c:pt>
                <c:pt idx="11">
                  <c:v>15.972408843058197</c:v>
                </c:pt>
                <c:pt idx="12">
                  <c:v>14.747651848983457</c:v>
                </c:pt>
                <c:pt idx="13">
                  <c:v>11.550733538461678</c:v>
                </c:pt>
                <c:pt idx="14">
                  <c:v>12.778499999994182</c:v>
                </c:pt>
                <c:pt idx="15">
                  <c:v>13.042056671598727</c:v>
                </c:pt>
                <c:pt idx="16">
                  <c:v>17.790648849835058</c:v>
                </c:pt>
                <c:pt idx="17">
                  <c:v>6.6891725519443357</c:v>
                </c:pt>
                <c:pt idx="18">
                  <c:v>11.370389065312704</c:v>
                </c:pt>
                <c:pt idx="19">
                  <c:v>19.086000000000098</c:v>
                </c:pt>
                <c:pt idx="20">
                  <c:v>8.9898000000008071</c:v>
                </c:pt>
                <c:pt idx="21">
                  <c:v>11.346010588618963</c:v>
                </c:pt>
                <c:pt idx="22">
                  <c:v>13.394999999995163</c:v>
                </c:pt>
                <c:pt idx="23">
                  <c:v>7.872829771852226</c:v>
                </c:pt>
                <c:pt idx="24">
                  <c:v>6.9327748784655023</c:v>
                </c:pt>
              </c:numCache>
            </c:numRef>
          </c:xVal>
          <c:yVal>
            <c:numRef>
              <c:f>'Trial 3 (dataset 1)'!$G$61:$G$120</c:f>
              <c:numCache>
                <c:formatCode>General</c:formatCode>
                <c:ptCount val="60"/>
                <c:pt idx="0">
                  <c:v>251.89549266775174</c:v>
                </c:pt>
                <c:pt idx="1">
                  <c:v>186.1133247973641</c:v>
                </c:pt>
                <c:pt idx="2">
                  <c:v>242.68199999999433</c:v>
                </c:pt>
                <c:pt idx="3">
                  <c:v>222.77243533078848</c:v>
                </c:pt>
                <c:pt idx="4">
                  <c:v>261.17692526275397</c:v>
                </c:pt>
                <c:pt idx="5">
                  <c:v>256.02550949111617</c:v>
                </c:pt>
                <c:pt idx="6">
                  <c:v>369.31674307917132</c:v>
                </c:pt>
                <c:pt idx="7">
                  <c:v>159.24805774971134</c:v>
                </c:pt>
                <c:pt idx="8">
                  <c:v>236.18810812499981</c:v>
                </c:pt>
                <c:pt idx="9">
                  <c:v>169.83240000000001</c:v>
                </c:pt>
                <c:pt idx="10">
                  <c:v>246.42412532412126</c:v>
                </c:pt>
                <c:pt idx="11">
                  <c:v>309.82490270263128</c:v>
                </c:pt>
                <c:pt idx="12">
                  <c:v>292.58543252599304</c:v>
                </c:pt>
                <c:pt idx="13">
                  <c:v>217.63550879854768</c:v>
                </c:pt>
                <c:pt idx="14">
                  <c:v>247.45169999999919</c:v>
                </c:pt>
                <c:pt idx="15">
                  <c:v>266.10625346834951</c:v>
                </c:pt>
                <c:pt idx="16">
                  <c:v>369.31674307917132</c:v>
                </c:pt>
                <c:pt idx="17">
                  <c:v>134.90327528622092</c:v>
                </c:pt>
                <c:pt idx="18">
                  <c:v>218.07088535308668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205.62869365733505</c:v>
                </c:pt>
                <c:pt idx="22">
                  <c:v>240.30809999999769</c:v>
                </c:pt>
                <c:pt idx="23">
                  <c:v>156.15565369073173</c:v>
                </c:pt>
                <c:pt idx="24">
                  <c:v>136.08228581679037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9C-441F-86E7-74A69E2AFAE7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3 (dataset 1)'!$F$124:$F$183</c:f>
              <c:numCache>
                <c:formatCode>General</c:formatCode>
                <c:ptCount val="60"/>
                <c:pt idx="0">
                  <c:v>11.275199999993378</c:v>
                </c:pt>
                <c:pt idx="1">
                  <c:v>11.776659612500808</c:v>
                </c:pt>
                <c:pt idx="2">
                  <c:v>7.7868000000008877</c:v>
                </c:pt>
                <c:pt idx="3">
                  <c:v>10.128440696018268</c:v>
                </c:pt>
                <c:pt idx="4">
                  <c:v>7.7242423058830347</c:v>
                </c:pt>
                <c:pt idx="5">
                  <c:v>17.283599999999968</c:v>
                </c:pt>
                <c:pt idx="6">
                  <c:v>12.285332570093937</c:v>
                </c:pt>
                <c:pt idx="7">
                  <c:v>14.158822452174912</c:v>
                </c:pt>
                <c:pt idx="8">
                  <c:v>7.7994267951314544</c:v>
                </c:pt>
                <c:pt idx="9">
                  <c:v>9.2355319538814236</c:v>
                </c:pt>
                <c:pt idx="10">
                  <c:v>8.0972999999946342</c:v>
                </c:pt>
              </c:numCache>
            </c:numRef>
          </c:xVal>
          <c:yVal>
            <c:numRef>
              <c:f>'Trial 3 (dataset 1)'!$G$124:$G$151</c:f>
              <c:numCache>
                <c:formatCode>General</c:formatCode>
                <c:ptCount val="28"/>
                <c:pt idx="0">
                  <c:v>242.68199999999433</c:v>
                </c:pt>
                <c:pt idx="1">
                  <c:v>233.47361453749977</c:v>
                </c:pt>
                <c:pt idx="2">
                  <c:v>134.81040000000056</c:v>
                </c:pt>
                <c:pt idx="3">
                  <c:v>212.52860331422897</c:v>
                </c:pt>
                <c:pt idx="4">
                  <c:v>178.55986063999981</c:v>
                </c:pt>
                <c:pt idx="5">
                  <c:v>360.78210000000007</c:v>
                </c:pt>
                <c:pt idx="6">
                  <c:v>256.57732728687955</c:v>
                </c:pt>
                <c:pt idx="7">
                  <c:v>270.25498746086953</c:v>
                </c:pt>
                <c:pt idx="8">
                  <c:v>182.63889794765294</c:v>
                </c:pt>
                <c:pt idx="9">
                  <c:v>177.19746032724149</c:v>
                </c:pt>
                <c:pt idx="10">
                  <c:v>166.90619999999905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9C-441F-86E7-74A69E2AFAE7}"/>
            </c:ext>
          </c:extLst>
        </c:ser>
        <c:ser>
          <c:idx val="2"/>
          <c:order val="2"/>
          <c:tx>
            <c:strRef>
              <c:f>'Trial 3 (dataset 1)'!$B$15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3 (dataset 1)'!$B$17:$B$18</c:f>
              <c:numCache>
                <c:formatCode>General</c:formatCode>
                <c:ptCount val="2"/>
                <c:pt idx="0">
                  <c:v>6.5</c:v>
                </c:pt>
                <c:pt idx="1">
                  <c:v>19.399999999999999</c:v>
                </c:pt>
              </c:numCache>
            </c:numRef>
          </c:xVal>
          <c:yVal>
            <c:numRef>
              <c:f>'Trial 3 (dataset 1)'!$C$17:$C$18</c:f>
              <c:numCache>
                <c:formatCode>General</c:formatCode>
                <c:ptCount val="2"/>
                <c:pt idx="0">
                  <c:v>129.926267762674</c:v>
                </c:pt>
                <c:pt idx="1">
                  <c:v>387.77993763013467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9C-441F-86E7-74A69E2A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2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654993221661973"/>
          <c:y val="6.1889940482310779E-2"/>
          <c:w val="0.39128522279184974"/>
          <c:h val="0.14521598665440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3 (dataset 1)'!$O$61:$O$130</c:f>
              <c:numCache>
                <c:formatCode>General</c:formatCode>
                <c:ptCount val="70"/>
                <c:pt idx="0">
                  <c:v>251.89549266775174</c:v>
                </c:pt>
                <c:pt idx="1">
                  <c:v>186.1133247973641</c:v>
                </c:pt>
                <c:pt idx="2">
                  <c:v>242.68199999999433</c:v>
                </c:pt>
                <c:pt idx="3">
                  <c:v>222.77243533078848</c:v>
                </c:pt>
                <c:pt idx="4">
                  <c:v>261.17692526275397</c:v>
                </c:pt>
                <c:pt idx="5">
                  <c:v>256.02550949111617</c:v>
                </c:pt>
                <c:pt idx="6">
                  <c:v>369.31674307917132</c:v>
                </c:pt>
                <c:pt idx="7">
                  <c:v>159.24805774971134</c:v>
                </c:pt>
                <c:pt idx="8">
                  <c:v>236.18810812499981</c:v>
                </c:pt>
                <c:pt idx="9">
                  <c:v>169.83240000000001</c:v>
                </c:pt>
                <c:pt idx="10">
                  <c:v>246.42412532412126</c:v>
                </c:pt>
                <c:pt idx="11">
                  <c:v>309.82490270263128</c:v>
                </c:pt>
                <c:pt idx="12">
                  <c:v>292.58543252599304</c:v>
                </c:pt>
                <c:pt idx="13">
                  <c:v>217.63550879854768</c:v>
                </c:pt>
                <c:pt idx="14">
                  <c:v>247.45169999999919</c:v>
                </c:pt>
                <c:pt idx="15">
                  <c:v>266.10625346834951</c:v>
                </c:pt>
                <c:pt idx="16">
                  <c:v>369.31674307917132</c:v>
                </c:pt>
                <c:pt idx="17">
                  <c:v>134.90327528622092</c:v>
                </c:pt>
                <c:pt idx="18">
                  <c:v>218.07088535308668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205.62869365733505</c:v>
                </c:pt>
                <c:pt idx="22">
                  <c:v>240.30809999999769</c:v>
                </c:pt>
                <c:pt idx="23">
                  <c:v>156.15565369073173</c:v>
                </c:pt>
                <c:pt idx="24">
                  <c:v>136.08228581679037</c:v>
                </c:pt>
                <c:pt idx="63">
                  <c:v>242.68199999999433</c:v>
                </c:pt>
                <c:pt idx="64">
                  <c:v>233.47361453749977</c:v>
                </c:pt>
                <c:pt idx="65">
                  <c:v>134.81040000000056</c:v>
                </c:pt>
                <c:pt idx="66">
                  <c:v>212.52860331422897</c:v>
                </c:pt>
                <c:pt idx="67">
                  <c:v>178.55986063999981</c:v>
                </c:pt>
                <c:pt idx="68">
                  <c:v>360.78210000000007</c:v>
                </c:pt>
                <c:pt idx="69">
                  <c:v>256.57732728687955</c:v>
                </c:pt>
              </c:numCache>
            </c:numRef>
          </c:xVal>
          <c:yVal>
            <c:numRef>
              <c:f>'Trial 3 (dataset 1)'!$P$61:$P$130</c:f>
              <c:numCache>
                <c:formatCode>General</c:formatCode>
                <c:ptCount val="70"/>
                <c:pt idx="0">
                  <c:v>248.15105518626237</c:v>
                </c:pt>
                <c:pt idx="1">
                  <c:v>198.58837547320229</c:v>
                </c:pt>
                <c:pt idx="2">
                  <c:v>225.37610065797563</c:v>
                </c:pt>
                <c:pt idx="3">
                  <c:v>221.16211356655063</c:v>
                </c:pt>
                <c:pt idx="4">
                  <c:v>239.67698813901404</c:v>
                </c:pt>
                <c:pt idx="5">
                  <c:v>256.40595159306639</c:v>
                </c:pt>
                <c:pt idx="6">
                  <c:v>355.61117017467353</c:v>
                </c:pt>
                <c:pt idx="7">
                  <c:v>187.13432915015099</c:v>
                </c:pt>
                <c:pt idx="8">
                  <c:v>227.74138482609828</c:v>
                </c:pt>
                <c:pt idx="9">
                  <c:v>139.40888644369124</c:v>
                </c:pt>
                <c:pt idx="10">
                  <c:v>244.59439574453728</c:v>
                </c:pt>
                <c:pt idx="11">
                  <c:v>319.26699510124331</c:v>
                </c:pt>
                <c:pt idx="12">
                  <c:v>294.78574815411059</c:v>
                </c:pt>
                <c:pt idx="13">
                  <c:v>230.88364593438016</c:v>
                </c:pt>
                <c:pt idx="14">
                  <c:v>255.42504809301136</c:v>
                </c:pt>
                <c:pt idx="15">
                  <c:v>260.69319189078539</c:v>
                </c:pt>
                <c:pt idx="16">
                  <c:v>355.61117017467353</c:v>
                </c:pt>
                <c:pt idx="17">
                  <c:v>133.70757293763833</c:v>
                </c:pt>
                <c:pt idx="18">
                  <c:v>227.27880219470754</c:v>
                </c:pt>
                <c:pt idx="19">
                  <c:v>381.50349946437058</c:v>
                </c:pt>
                <c:pt idx="20">
                  <c:v>179.69402491276793</c:v>
                </c:pt>
                <c:pt idx="21">
                  <c:v>226.79150919616029</c:v>
                </c:pt>
                <c:pt idx="22">
                  <c:v>267.74805487390614</c:v>
                </c:pt>
                <c:pt idx="23">
                  <c:v>157.36729061348061</c:v>
                </c:pt>
                <c:pt idx="24">
                  <c:v>138.5768561842844</c:v>
                </c:pt>
                <c:pt idx="63">
                  <c:v>225.37610065797563</c:v>
                </c:pt>
                <c:pt idx="64">
                  <c:v>235.39960464056134</c:v>
                </c:pt>
                <c:pt idx="65">
                  <c:v>155.64767104838543</c:v>
                </c:pt>
                <c:pt idx="66">
                  <c:v>202.45392275218981</c:v>
                </c:pt>
                <c:pt idx="67">
                  <c:v>154.39722678429749</c:v>
                </c:pt>
                <c:pt idx="68">
                  <c:v>345.47594484660743</c:v>
                </c:pt>
                <c:pt idx="69">
                  <c:v>245.56729370084997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A3-4810-AF8B-08888F0A5B41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'Trial 3 (dataset 1)'!$O$124:$O$183</c:f>
              <c:numCache>
                <c:formatCode>General</c:formatCode>
                <c:ptCount val="60"/>
                <c:pt idx="0">
                  <c:v>242.68199999999433</c:v>
                </c:pt>
                <c:pt idx="1">
                  <c:v>233.47361453749977</c:v>
                </c:pt>
                <c:pt idx="2">
                  <c:v>134.81040000000056</c:v>
                </c:pt>
                <c:pt idx="3">
                  <c:v>212.52860331422897</c:v>
                </c:pt>
                <c:pt idx="4">
                  <c:v>178.55986063999981</c:v>
                </c:pt>
                <c:pt idx="5">
                  <c:v>360.78210000000007</c:v>
                </c:pt>
                <c:pt idx="6">
                  <c:v>256.57732728687955</c:v>
                </c:pt>
                <c:pt idx="7">
                  <c:v>270.25498746086953</c:v>
                </c:pt>
                <c:pt idx="8">
                  <c:v>182.63889794765294</c:v>
                </c:pt>
                <c:pt idx="9">
                  <c:v>177.19746032724149</c:v>
                </c:pt>
                <c:pt idx="10">
                  <c:v>166.90619999999905</c:v>
                </c:pt>
              </c:numCache>
            </c:numRef>
          </c:xVal>
          <c:yVal>
            <c:numRef>
              <c:f>'Trial 3 (dataset 1)'!$P$124:$P$183</c:f>
              <c:numCache>
                <c:formatCode>General</c:formatCode>
                <c:ptCount val="60"/>
                <c:pt idx="0">
                  <c:v>225.37610065797563</c:v>
                </c:pt>
                <c:pt idx="1">
                  <c:v>235.39960464056134</c:v>
                </c:pt>
                <c:pt idx="2">
                  <c:v>155.64767104838543</c:v>
                </c:pt>
                <c:pt idx="3">
                  <c:v>202.45392275218981</c:v>
                </c:pt>
                <c:pt idx="4">
                  <c:v>154.39722678429749</c:v>
                </c:pt>
                <c:pt idx="5">
                  <c:v>345.47594484660743</c:v>
                </c:pt>
                <c:pt idx="6">
                  <c:v>245.56729370084997</c:v>
                </c:pt>
                <c:pt idx="7">
                  <c:v>283.0158395577597</c:v>
                </c:pt>
                <c:pt idx="8">
                  <c:v>155.9000637199421</c:v>
                </c:pt>
                <c:pt idx="9">
                  <c:v>184.60587654934304</c:v>
                </c:pt>
                <c:pt idx="10">
                  <c:v>161.85414891600047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A3-4810-AF8B-08888F0A5B41}"/>
            </c:ext>
          </c:extLst>
        </c:ser>
        <c:ser>
          <c:idx val="2"/>
          <c:order val="2"/>
          <c:tx>
            <c:v>Measured = Expected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0A3-4810-AF8B-08888F0A5B41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3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3 (dataset 1)'!$S$16:$S$17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3-4810-AF8B-08888F0A5B41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'Trial 3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3 (dataset 1)'!$T$16:$T$17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A3-4810-AF8B-08888F0A5B41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'Trial 3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3 (dataset 1)'!$Q$16:$Q$17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A3-4810-AF8B-08888F0A5B41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5875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A3-4810-AF8B-08888F0A5B41}"/>
              </c:ext>
            </c:extLst>
          </c:dPt>
          <c:xVal>
            <c:numRef>
              <c:f>'Trial 3 (dataset 1)'!$O$16:$O$17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'Trial 3 (dataset 1)'!$R$16:$R$17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A3-4810-AF8B-08888F0A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8457283950617284"/>
          <c:y val="3.9567024551829068E-2"/>
          <c:w val="0.33725835378064745"/>
          <c:h val="0.21128980904587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L'!$F$85:$F$109</c:f>
              <c:numCache>
                <c:formatCode>General</c:formatCode>
                <c:ptCount val="25"/>
                <c:pt idx="0">
                  <c:v>12.414593957682301</c:v>
                </c:pt>
                <c:pt idx="1">
                  <c:v>11.776659612500808</c:v>
                </c:pt>
                <c:pt idx="2">
                  <c:v>9.9350536485328842</c:v>
                </c:pt>
                <c:pt idx="3">
                  <c:v>9.3620263278695397</c:v>
                </c:pt>
                <c:pt idx="4">
                  <c:v>12.285332570093937</c:v>
                </c:pt>
                <c:pt idx="5">
                  <c:v>7.7994267951314544</c:v>
                </c:pt>
                <c:pt idx="6">
                  <c:v>7.872829771852226</c:v>
                </c:pt>
                <c:pt idx="7">
                  <c:v>13.042056671598727</c:v>
                </c:pt>
                <c:pt idx="8">
                  <c:v>8.0972999999946342</c:v>
                </c:pt>
                <c:pt idx="9">
                  <c:v>17.283599999999968</c:v>
                </c:pt>
                <c:pt idx="10">
                  <c:v>11.990650156666428</c:v>
                </c:pt>
                <c:pt idx="11">
                  <c:v>11.346010588618963</c:v>
                </c:pt>
                <c:pt idx="12">
                  <c:v>12.778499999994182</c:v>
                </c:pt>
                <c:pt idx="13">
                  <c:v>11.550733538461678</c:v>
                </c:pt>
                <c:pt idx="14">
                  <c:v>11.275199999993378</c:v>
                </c:pt>
                <c:pt idx="15">
                  <c:v>9.2355319538814236</c:v>
                </c:pt>
                <c:pt idx="16">
                  <c:v>7.7242423058830347</c:v>
                </c:pt>
                <c:pt idx="17">
                  <c:v>14.158822452174912</c:v>
                </c:pt>
                <c:pt idx="18">
                  <c:v>6.9327748784655023</c:v>
                </c:pt>
                <c:pt idx="19">
                  <c:v>19.086000000000098</c:v>
                </c:pt>
                <c:pt idx="20">
                  <c:v>8.9898000000008071</c:v>
                </c:pt>
                <c:pt idx="21">
                  <c:v>17.790648849835058</c:v>
                </c:pt>
                <c:pt idx="22">
                  <c:v>10.128440696018268</c:v>
                </c:pt>
                <c:pt idx="23">
                  <c:v>14.747651848983457</c:v>
                </c:pt>
                <c:pt idx="24">
                  <c:v>13.394999999995163</c:v>
                </c:pt>
              </c:numCache>
            </c:numRef>
          </c:xVal>
          <c:yVal>
            <c:numRef>
              <c:f>'Effect m and L'!$G$85:$G$109</c:f>
              <c:numCache>
                <c:formatCode>General</c:formatCode>
                <c:ptCount val="25"/>
                <c:pt idx="0">
                  <c:v>251.89549266775174</c:v>
                </c:pt>
                <c:pt idx="1">
                  <c:v>233.47361453749977</c:v>
                </c:pt>
                <c:pt idx="2">
                  <c:v>186.1133247973641</c:v>
                </c:pt>
                <c:pt idx="3">
                  <c:v>159.24805774971134</c:v>
                </c:pt>
                <c:pt idx="4">
                  <c:v>256.57732728687955</c:v>
                </c:pt>
                <c:pt idx="5">
                  <c:v>182.63889794765294</c:v>
                </c:pt>
                <c:pt idx="6">
                  <c:v>156.15565369073173</c:v>
                </c:pt>
                <c:pt idx="7">
                  <c:v>266.10625346834951</c:v>
                </c:pt>
                <c:pt idx="8">
                  <c:v>166.90619999999905</c:v>
                </c:pt>
                <c:pt idx="9">
                  <c:v>360.78210000000007</c:v>
                </c:pt>
                <c:pt idx="10">
                  <c:v>261.17692526275397</c:v>
                </c:pt>
                <c:pt idx="11">
                  <c:v>205.62869365733505</c:v>
                </c:pt>
                <c:pt idx="12">
                  <c:v>247.45169999999919</c:v>
                </c:pt>
                <c:pt idx="13">
                  <c:v>217.63550879854768</c:v>
                </c:pt>
                <c:pt idx="14">
                  <c:v>242.68199999999433</c:v>
                </c:pt>
                <c:pt idx="15">
                  <c:v>177.19746032724149</c:v>
                </c:pt>
                <c:pt idx="16">
                  <c:v>178.55986063999981</c:v>
                </c:pt>
                <c:pt idx="17">
                  <c:v>270.25498746086953</c:v>
                </c:pt>
                <c:pt idx="18">
                  <c:v>136.08228581679037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369.31674307917132</c:v>
                </c:pt>
                <c:pt idx="22">
                  <c:v>212.52860331422897</c:v>
                </c:pt>
                <c:pt idx="23">
                  <c:v>292.58543252599304</c:v>
                </c:pt>
                <c:pt idx="24">
                  <c:v>240.30809999999769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E-4864-93C1-599AD48B8033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L'!$F$112:$F$123</c:f>
              <c:numCache>
                <c:formatCode>General</c:formatCode>
                <c:ptCount val="12"/>
                <c:pt idx="0">
                  <c:v>6.9743999999999957</c:v>
                </c:pt>
                <c:pt idx="1">
                  <c:v>11.275199999993378</c:v>
                </c:pt>
                <c:pt idx="2">
                  <c:v>11.370389065312704</c:v>
                </c:pt>
                <c:pt idx="3">
                  <c:v>12.827573007786603</c:v>
                </c:pt>
                <c:pt idx="4">
                  <c:v>15.972408843058197</c:v>
                </c:pt>
                <c:pt idx="5">
                  <c:v>7.7868000000008877</c:v>
                </c:pt>
                <c:pt idx="6">
                  <c:v>17.790648849835058</c:v>
                </c:pt>
                <c:pt idx="7">
                  <c:v>11.393531322500698</c:v>
                </c:pt>
                <c:pt idx="8">
                  <c:v>12.236660066643104</c:v>
                </c:pt>
                <c:pt idx="9">
                  <c:v>6.6891725519443357</c:v>
                </c:pt>
                <c:pt idx="10">
                  <c:v>11.064381075029758</c:v>
                </c:pt>
              </c:numCache>
            </c:numRef>
          </c:xVal>
          <c:yVal>
            <c:numRef>
              <c:f>'Effect m and L'!$G$112:$G$123</c:f>
              <c:numCache>
                <c:formatCode>General</c:formatCode>
                <c:ptCount val="12"/>
                <c:pt idx="0">
                  <c:v>169.83240000000001</c:v>
                </c:pt>
                <c:pt idx="1">
                  <c:v>242.68199999999433</c:v>
                </c:pt>
                <c:pt idx="2">
                  <c:v>218.07088535308668</c:v>
                </c:pt>
                <c:pt idx="3">
                  <c:v>256.02550949111617</c:v>
                </c:pt>
                <c:pt idx="4">
                  <c:v>309.82490270263128</c:v>
                </c:pt>
                <c:pt idx="5">
                  <c:v>134.81040000000056</c:v>
                </c:pt>
                <c:pt idx="6">
                  <c:v>369.31674307917132</c:v>
                </c:pt>
                <c:pt idx="7">
                  <c:v>236.18810812499981</c:v>
                </c:pt>
                <c:pt idx="8">
                  <c:v>246.42412532412126</c:v>
                </c:pt>
                <c:pt idx="9">
                  <c:v>134.90327528622092</c:v>
                </c:pt>
                <c:pt idx="10">
                  <c:v>222.77243533078848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8E-4864-93C1-599AD48B8033}"/>
            </c:ext>
          </c:extLst>
        </c:ser>
        <c:ser>
          <c:idx val="2"/>
          <c:order val="2"/>
          <c:tx>
            <c:strRef>
              <c:f>'Effect m and L'!$B$7</c:f>
              <c:strCache>
                <c:ptCount val="1"/>
                <c:pt idx="0">
                  <c:v>Mass Effect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4ACA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L'!$F$125:$F$136</c:f>
              <c:numCache>
                <c:formatCode>General</c:formatCode>
                <c:ptCount val="12"/>
                <c:pt idx="0">
                  <c:v>20.136299999999675</c:v>
                </c:pt>
                <c:pt idx="1">
                  <c:v>20.233381415732683</c:v>
                </c:pt>
                <c:pt idx="2">
                  <c:v>21.178307900317577</c:v>
                </c:pt>
                <c:pt idx="3">
                  <c:v>14.619000000000637</c:v>
                </c:pt>
                <c:pt idx="4">
                  <c:v>17.935800000001304</c:v>
                </c:pt>
                <c:pt idx="5">
                  <c:v>17.970455508345797</c:v>
                </c:pt>
                <c:pt idx="6">
                  <c:v>19.795800000000789</c:v>
                </c:pt>
                <c:pt idx="7">
                  <c:v>18.948021681361006</c:v>
                </c:pt>
                <c:pt idx="8">
                  <c:v>16.33920000000073</c:v>
                </c:pt>
                <c:pt idx="9">
                  <c:v>16.090530088193475</c:v>
                </c:pt>
                <c:pt idx="10">
                  <c:v>14.901658243472077</c:v>
                </c:pt>
                <c:pt idx="11">
                  <c:v>15.294906027162751</c:v>
                </c:pt>
              </c:numCache>
            </c:numRef>
          </c:xVal>
          <c:yVal>
            <c:numRef>
              <c:f>'Effect m and L'!$G$125:$G$136</c:f>
              <c:numCache>
                <c:formatCode>General</c:formatCode>
                <c:ptCount val="12"/>
                <c:pt idx="0">
                  <c:v>422.07809643010341</c:v>
                </c:pt>
                <c:pt idx="1">
                  <c:v>404.99093146994852</c:v>
                </c:pt>
                <c:pt idx="2">
                  <c:v>403.6620200942827</c:v>
                </c:pt>
                <c:pt idx="3">
                  <c:v>301.61215956541196</c:v>
                </c:pt>
                <c:pt idx="4">
                  <c:v>365.21590909090946</c:v>
                </c:pt>
                <c:pt idx="5">
                  <c:v>340.37905812139587</c:v>
                </c:pt>
                <c:pt idx="6">
                  <c:v>417.0263999999998</c:v>
                </c:pt>
                <c:pt idx="7">
                  <c:v>412.3936411407775</c:v>
                </c:pt>
                <c:pt idx="8">
                  <c:v>353.55864367151293</c:v>
                </c:pt>
                <c:pt idx="9">
                  <c:v>334.92233180419038</c:v>
                </c:pt>
                <c:pt idx="10">
                  <c:v>299.1960258608637</c:v>
                </c:pt>
                <c:pt idx="11">
                  <c:v>318.35937208508204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E-4864-93C1-599AD48B8033}"/>
            </c:ext>
          </c:extLst>
        </c:ser>
        <c:ser>
          <c:idx val="4"/>
          <c:order val="3"/>
          <c:tx>
            <c:strRef>
              <c:f>'Effect m and L'!$B$8</c:f>
              <c:strCache>
                <c:ptCount val="1"/>
                <c:pt idx="0">
                  <c:v>Latent Heat Effect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L'!$F$139:$F$150</c:f>
              <c:numCache>
                <c:formatCode>General</c:formatCode>
                <c:ptCount val="12"/>
                <c:pt idx="0">
                  <c:v>26.190323511765527</c:v>
                </c:pt>
                <c:pt idx="1">
                  <c:v>27.339335607030392</c:v>
                </c:pt>
                <c:pt idx="2">
                  <c:v>25.152330906320181</c:v>
                </c:pt>
                <c:pt idx="3">
                  <c:v>27.071048094113479</c:v>
                </c:pt>
                <c:pt idx="4">
                  <c:v>22.284430163528512</c:v>
                </c:pt>
                <c:pt idx="5">
                  <c:v>26.999051764701608</c:v>
                </c:pt>
                <c:pt idx="6">
                  <c:v>25.133748384813632</c:v>
                </c:pt>
                <c:pt idx="7">
                  <c:v>23.56542752499842</c:v>
                </c:pt>
                <c:pt idx="8">
                  <c:v>24.450227664000003</c:v>
                </c:pt>
                <c:pt idx="9">
                  <c:v>22.067685978047887</c:v>
                </c:pt>
                <c:pt idx="10">
                  <c:v>22.836000000008426</c:v>
                </c:pt>
                <c:pt idx="11">
                  <c:v>22.422000000000001</c:v>
                </c:pt>
              </c:numCache>
            </c:numRef>
          </c:xVal>
          <c:yVal>
            <c:numRef>
              <c:f>'Effect m and L'!$G$139:$G$150</c:f>
              <c:numCache>
                <c:formatCode>General</c:formatCode>
                <c:ptCount val="12"/>
                <c:pt idx="0">
                  <c:v>521.36237802390303</c:v>
                </c:pt>
                <c:pt idx="1">
                  <c:v>517.33538910520599</c:v>
                </c:pt>
                <c:pt idx="2">
                  <c:v>531.35713106848095</c:v>
                </c:pt>
                <c:pt idx="3">
                  <c:v>497.44749309176234</c:v>
                </c:pt>
                <c:pt idx="4">
                  <c:v>438.58518732334858</c:v>
                </c:pt>
                <c:pt idx="5">
                  <c:v>498.93304243764453</c:v>
                </c:pt>
                <c:pt idx="6">
                  <c:v>559.05236689916728</c:v>
                </c:pt>
                <c:pt idx="7">
                  <c:v>527.06882303249881</c:v>
                </c:pt>
                <c:pt idx="8">
                  <c:v>552.97144175999995</c:v>
                </c:pt>
                <c:pt idx="9">
                  <c:v>530.44121365596561</c:v>
                </c:pt>
                <c:pt idx="10">
                  <c:v>554.20560000000489</c:v>
                </c:pt>
                <c:pt idx="11">
                  <c:v>526.93979999999988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8E-4864-93C1-599AD48B8033}"/>
            </c:ext>
          </c:extLst>
        </c:ser>
        <c:ser>
          <c:idx val="3"/>
          <c:order val="4"/>
          <c:tx>
            <c:strRef>
              <c:f>'Effect m and L'!$B$16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'Effect m and L'!$B$18:$B$19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'Effect m and L'!$C$18:$C$19</c:f>
              <c:numCache>
                <c:formatCode>General</c:formatCode>
                <c:ptCount val="2"/>
                <c:pt idx="0">
                  <c:v>120.46971333173559</c:v>
                </c:pt>
                <c:pt idx="1">
                  <c:v>562.1919955480995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8E-4864-93C1-599AD48B8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L'!$O$85:$O$109</c:f>
              <c:numCache>
                <c:formatCode>General</c:formatCode>
                <c:ptCount val="25"/>
                <c:pt idx="0">
                  <c:v>251.89549266775174</c:v>
                </c:pt>
                <c:pt idx="1">
                  <c:v>233.47361453749977</c:v>
                </c:pt>
                <c:pt idx="2">
                  <c:v>186.1133247973641</c:v>
                </c:pt>
                <c:pt idx="3">
                  <c:v>159.24805774971134</c:v>
                </c:pt>
                <c:pt idx="4">
                  <c:v>256.57732728687955</c:v>
                </c:pt>
                <c:pt idx="5">
                  <c:v>182.63889794765294</c:v>
                </c:pt>
                <c:pt idx="6">
                  <c:v>156.15565369073173</c:v>
                </c:pt>
                <c:pt idx="7">
                  <c:v>266.10625346834951</c:v>
                </c:pt>
                <c:pt idx="8">
                  <c:v>166.90619999999905</c:v>
                </c:pt>
                <c:pt idx="9">
                  <c:v>360.78210000000007</c:v>
                </c:pt>
                <c:pt idx="10">
                  <c:v>261.17692526275397</c:v>
                </c:pt>
                <c:pt idx="11">
                  <c:v>205.62869365733505</c:v>
                </c:pt>
                <c:pt idx="12">
                  <c:v>247.45169999999919</c:v>
                </c:pt>
                <c:pt idx="13">
                  <c:v>217.63550879854768</c:v>
                </c:pt>
                <c:pt idx="14">
                  <c:v>242.68199999999433</c:v>
                </c:pt>
                <c:pt idx="15">
                  <c:v>177.19746032724149</c:v>
                </c:pt>
                <c:pt idx="16">
                  <c:v>178.55986063999981</c:v>
                </c:pt>
                <c:pt idx="17">
                  <c:v>270.25498746086953</c:v>
                </c:pt>
                <c:pt idx="18">
                  <c:v>136.08228581679037</c:v>
                </c:pt>
                <c:pt idx="19">
                  <c:v>387.39479999999998</c:v>
                </c:pt>
                <c:pt idx="20">
                  <c:v>184.20239999999984</c:v>
                </c:pt>
                <c:pt idx="21">
                  <c:v>369.31674307917132</c:v>
                </c:pt>
                <c:pt idx="22">
                  <c:v>212.52860331422897</c:v>
                </c:pt>
                <c:pt idx="23">
                  <c:v>292.58543252599304</c:v>
                </c:pt>
                <c:pt idx="24">
                  <c:v>240.30809999999769</c:v>
                </c:pt>
              </c:numCache>
            </c:numRef>
          </c:xVal>
          <c:yVal>
            <c:numRef>
              <c:f>'Effect m and L'!$P$85:$P$109</c:f>
              <c:numCache>
                <c:formatCode>General</c:formatCode>
                <c:ptCount val="25"/>
                <c:pt idx="0">
                  <c:v>249.26376253531396</c:v>
                </c:pt>
                <c:pt idx="1">
                  <c:v>236.45513458723346</c:v>
                </c:pt>
                <c:pt idx="2">
                  <c:v>199.47884416236172</c:v>
                </c:pt>
                <c:pt idx="3">
                  <c:v>187.97343798710079</c:v>
                </c:pt>
                <c:pt idx="4">
                  <c:v>246.66841548404184</c:v>
                </c:pt>
                <c:pt idx="5">
                  <c:v>156.59911836022394</c:v>
                </c:pt>
                <c:pt idx="6">
                  <c:v>158.07292428743185</c:v>
                </c:pt>
                <c:pt idx="7">
                  <c:v>261.86213808062473</c:v>
                </c:pt>
                <c:pt idx="8">
                  <c:v>162.57990162673605</c:v>
                </c:pt>
                <c:pt idx="9">
                  <c:v>347.02505622339692</c:v>
                </c:pt>
                <c:pt idx="10">
                  <c:v>240.75169783912253</c:v>
                </c:pt>
                <c:pt idx="11">
                  <c:v>227.8084405116272</c:v>
                </c:pt>
                <c:pt idx="12">
                  <c:v>256.57037196814707</c:v>
                </c:pt>
                <c:pt idx="13">
                  <c:v>231.91892635829038</c:v>
                </c:pt>
                <c:pt idx="14">
                  <c:v>226.38668529286457</c:v>
                </c:pt>
                <c:pt idx="15">
                  <c:v>185.43364782502985</c:v>
                </c:pt>
                <c:pt idx="16">
                  <c:v>155.08954271576559</c:v>
                </c:pt>
                <c:pt idx="17">
                  <c:v>284.28488032140888</c:v>
                </c:pt>
                <c:pt idx="18">
                  <c:v>139.19823370036619</c:v>
                </c:pt>
                <c:pt idx="19">
                  <c:v>383.21415810825289</c:v>
                </c:pt>
                <c:pt idx="20">
                  <c:v>180.49977148495566</c:v>
                </c:pt>
                <c:pt idx="21">
                  <c:v>357.20572782086685</c:v>
                </c:pt>
                <c:pt idx="22">
                  <c:v>203.36172452446755</c:v>
                </c:pt>
                <c:pt idx="23">
                  <c:v>296.1075650938796</c:v>
                </c:pt>
                <c:pt idx="24">
                  <c:v>268.94863501300262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93-4866-B19E-53910235263F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L'!$O$112:$O$123</c:f>
              <c:numCache>
                <c:formatCode>General</c:formatCode>
                <c:ptCount val="12"/>
                <c:pt idx="0">
                  <c:v>169.83240000000001</c:v>
                </c:pt>
                <c:pt idx="1">
                  <c:v>242.68199999999433</c:v>
                </c:pt>
                <c:pt idx="2">
                  <c:v>218.07088535308668</c:v>
                </c:pt>
                <c:pt idx="3">
                  <c:v>256.02550949111617</c:v>
                </c:pt>
                <c:pt idx="4">
                  <c:v>309.82490270263128</c:v>
                </c:pt>
                <c:pt idx="5">
                  <c:v>134.81040000000056</c:v>
                </c:pt>
                <c:pt idx="6">
                  <c:v>369.31674307917132</c:v>
                </c:pt>
                <c:pt idx="7">
                  <c:v>236.18810812499981</c:v>
                </c:pt>
                <c:pt idx="8">
                  <c:v>246.42412532412126</c:v>
                </c:pt>
                <c:pt idx="9">
                  <c:v>134.90327528622092</c:v>
                </c:pt>
                <c:pt idx="10">
                  <c:v>222.77243533078848</c:v>
                </c:pt>
              </c:numCache>
            </c:numRef>
          </c:xVal>
          <c:yVal>
            <c:numRef>
              <c:f>'Effect m and L'!$P$112:$P$123</c:f>
              <c:numCache>
                <c:formatCode>General</c:formatCode>
                <c:ptCount val="12"/>
                <c:pt idx="0">
                  <c:v>140.03399477680938</c:v>
                </c:pt>
                <c:pt idx="1">
                  <c:v>226.38668529286457</c:v>
                </c:pt>
                <c:pt idx="2">
                  <c:v>228.29791852808708</c:v>
                </c:pt>
                <c:pt idx="3">
                  <c:v>257.55567383166022</c:v>
                </c:pt>
                <c:pt idx="4">
                  <c:v>320.69858575674994</c:v>
                </c:pt>
                <c:pt idx="5">
                  <c:v>156.34559396194427</c:v>
                </c:pt>
                <c:pt idx="6">
                  <c:v>357.20572782086685</c:v>
                </c:pt>
                <c:pt idx="7">
                  <c:v>228.76257537630156</c:v>
                </c:pt>
                <c:pt idx="8">
                  <c:v>245.69115506106522</c:v>
                </c:pt>
                <c:pt idx="9">
                  <c:v>134.30711662654139</c:v>
                </c:pt>
                <c:pt idx="10">
                  <c:v>222.15380271698589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93-4866-B19E-53910235263F}"/>
            </c:ext>
          </c:extLst>
        </c:ser>
        <c:ser>
          <c:idx val="1"/>
          <c:order val="2"/>
          <c:tx>
            <c:strRef>
              <c:f>'Effect m and L'!$B$7</c:f>
              <c:strCache>
                <c:ptCount val="1"/>
                <c:pt idx="0">
                  <c:v>Mass Effect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4ACA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L'!$O$125:$O$136</c:f>
              <c:numCache>
                <c:formatCode>General</c:formatCode>
                <c:ptCount val="12"/>
                <c:pt idx="0">
                  <c:v>422.07809643010341</c:v>
                </c:pt>
                <c:pt idx="1">
                  <c:v>404.99093146994852</c:v>
                </c:pt>
                <c:pt idx="2">
                  <c:v>403.6620200942827</c:v>
                </c:pt>
                <c:pt idx="3">
                  <c:v>301.61215956541196</c:v>
                </c:pt>
                <c:pt idx="4">
                  <c:v>365.21590909090946</c:v>
                </c:pt>
                <c:pt idx="5">
                  <c:v>340.37905812139587</c:v>
                </c:pt>
                <c:pt idx="6">
                  <c:v>417.0263999999998</c:v>
                </c:pt>
                <c:pt idx="7">
                  <c:v>412.3936411407775</c:v>
                </c:pt>
                <c:pt idx="8">
                  <c:v>353.55864367151293</c:v>
                </c:pt>
                <c:pt idx="9">
                  <c:v>334.92233180419038</c:v>
                </c:pt>
                <c:pt idx="10">
                  <c:v>299.1960258608637</c:v>
                </c:pt>
                <c:pt idx="11">
                  <c:v>318.35937208508204</c:v>
                </c:pt>
              </c:numCache>
            </c:numRef>
          </c:xVal>
          <c:yVal>
            <c:numRef>
              <c:f>'Effect m and L'!$P$125:$P$136</c:f>
              <c:numCache>
                <c:formatCode>General</c:formatCode>
                <c:ptCount val="12"/>
                <c:pt idx="0">
                  <c:v>404.30238142696476</c:v>
                </c:pt>
                <c:pt idx="1">
                  <c:v>406.25160981416383</c:v>
                </c:pt>
                <c:pt idx="2">
                  <c:v>425.22411360041497</c:v>
                </c:pt>
                <c:pt idx="3">
                  <c:v>293.52445653278659</c:v>
                </c:pt>
                <c:pt idx="4">
                  <c:v>360.12011406258341</c:v>
                </c:pt>
                <c:pt idx="5">
                  <c:v>360.81593725518786</c:v>
                </c:pt>
                <c:pt idx="6">
                  <c:v>397.4657251954111</c:v>
                </c:pt>
                <c:pt idx="7">
                  <c:v>380.44379002617853</c:v>
                </c:pt>
                <c:pt idx="8">
                  <c:v>328.06312334499705</c:v>
                </c:pt>
                <c:pt idx="9">
                  <c:v>323.07025784672237</c:v>
                </c:pt>
                <c:pt idx="10">
                  <c:v>299.19974945976264</c:v>
                </c:pt>
                <c:pt idx="11">
                  <c:v>307.09549075468863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93-4866-B19E-53910235263F}"/>
            </c:ext>
          </c:extLst>
        </c:ser>
        <c:ser>
          <c:idx val="8"/>
          <c:order val="3"/>
          <c:tx>
            <c:strRef>
              <c:f>'Effect m and L'!$B$8</c:f>
              <c:strCache>
                <c:ptCount val="1"/>
                <c:pt idx="0">
                  <c:v>Latent Heat Effect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'Effect m and L'!$O$139:$O$150</c:f>
              <c:numCache>
                <c:formatCode>General</c:formatCode>
                <c:ptCount val="12"/>
                <c:pt idx="0">
                  <c:v>521.36237802390303</c:v>
                </c:pt>
                <c:pt idx="1">
                  <c:v>517.33538910520599</c:v>
                </c:pt>
                <c:pt idx="2">
                  <c:v>531.35713106848095</c:v>
                </c:pt>
                <c:pt idx="3">
                  <c:v>497.44749309176234</c:v>
                </c:pt>
                <c:pt idx="4">
                  <c:v>438.58518732334858</c:v>
                </c:pt>
                <c:pt idx="5">
                  <c:v>498.93304243764453</c:v>
                </c:pt>
                <c:pt idx="6">
                  <c:v>559.05236689916728</c:v>
                </c:pt>
                <c:pt idx="7">
                  <c:v>527.06882303249881</c:v>
                </c:pt>
                <c:pt idx="8">
                  <c:v>552.97144175999995</c:v>
                </c:pt>
                <c:pt idx="9">
                  <c:v>530.44121365596561</c:v>
                </c:pt>
                <c:pt idx="10">
                  <c:v>554.20560000000489</c:v>
                </c:pt>
                <c:pt idx="11">
                  <c:v>526.93979999999988</c:v>
                </c:pt>
              </c:numCache>
            </c:numRef>
          </c:xVal>
          <c:yVal>
            <c:numRef>
              <c:f>'Effect m and L'!$P$139:$P$151</c:f>
              <c:numCache>
                <c:formatCode>General</c:formatCode>
                <c:ptCount val="13"/>
                <c:pt idx="0">
                  <c:v>525.85679425463468</c:v>
                </c:pt>
                <c:pt idx="1">
                  <c:v>548.92698720984379</c:v>
                </c:pt>
                <c:pt idx="2">
                  <c:v>505.01568231822426</c:v>
                </c:pt>
                <c:pt idx="3">
                  <c:v>543.54023391457974</c:v>
                </c:pt>
                <c:pt idx="4">
                  <c:v>447.43315226022696</c:v>
                </c:pt>
                <c:pt idx="5">
                  <c:v>542.0946710537155</c:v>
                </c:pt>
                <c:pt idx="6">
                  <c:v>504.64257714507846</c:v>
                </c:pt>
                <c:pt idx="7">
                  <c:v>473.15338307939186</c:v>
                </c:pt>
                <c:pt idx="8">
                  <c:v>490.9186529296253</c:v>
                </c:pt>
                <c:pt idx="9">
                  <c:v>443.0813006116984</c:v>
                </c:pt>
                <c:pt idx="10">
                  <c:v>458.50772894075487</c:v>
                </c:pt>
                <c:pt idx="11">
                  <c:v>450.19531872069592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93-4866-B19E-53910235263F}"/>
            </c:ext>
          </c:extLst>
        </c:ser>
        <c:ser>
          <c:idx val="2"/>
          <c:order val="4"/>
          <c:tx>
            <c:v>Measured = Expected</c:v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693-4866-B19E-53910235263F}"/>
            </c:ext>
          </c:extLst>
        </c:ser>
        <c:ser>
          <c:idx val="3"/>
          <c:order val="5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'Effect m and L'!$O$17:$O$18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'Effect m and L'!$S$17:$S$18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93-4866-B19E-53910235263F}"/>
            </c:ext>
          </c:extLst>
        </c:ser>
        <c:ser>
          <c:idx val="4"/>
          <c:order val="6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'Effect m and L'!$O$17:$O$18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'Effect m and L'!$T$17:$T$18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93-4866-B19E-53910235263F}"/>
            </c:ext>
          </c:extLst>
        </c:ser>
        <c:ser>
          <c:idx val="5"/>
          <c:order val="7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'Effect m and L'!$O$17:$O$18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'Effect m and L'!$Q$17:$Q$18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93-4866-B19E-53910235263F}"/>
            </c:ext>
          </c:extLst>
        </c:ser>
        <c:ser>
          <c:idx val="6"/>
          <c:order val="8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'Effect m and L'!$O$17:$O$18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'Effect m and L'!$R$17:$R$18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93-4866-B19E-539102352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4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2)'!$F$84:$F$108</c:f>
              <c:numCache>
                <c:formatCode>General</c:formatCode>
                <c:ptCount val="25"/>
                <c:pt idx="0">
                  <c:v>7.7242423058830347</c:v>
                </c:pt>
                <c:pt idx="1">
                  <c:v>17.970455508345797</c:v>
                </c:pt>
                <c:pt idx="2">
                  <c:v>7.7994267951314553</c:v>
                </c:pt>
                <c:pt idx="3">
                  <c:v>11.275199999993378</c:v>
                </c:pt>
                <c:pt idx="4">
                  <c:v>6.9743999999999957</c:v>
                </c:pt>
                <c:pt idx="5">
                  <c:v>24.450227664000003</c:v>
                </c:pt>
                <c:pt idx="6">
                  <c:v>11.550733538461678</c:v>
                </c:pt>
                <c:pt idx="7">
                  <c:v>8.9898000000008089</c:v>
                </c:pt>
                <c:pt idx="8">
                  <c:v>9.3620263278695397</c:v>
                </c:pt>
                <c:pt idx="9">
                  <c:v>14.619000000000637</c:v>
                </c:pt>
                <c:pt idx="10">
                  <c:v>11.370389065312706</c:v>
                </c:pt>
                <c:pt idx="11">
                  <c:v>12.827573007786603</c:v>
                </c:pt>
                <c:pt idx="12">
                  <c:v>25.133748384813632</c:v>
                </c:pt>
                <c:pt idx="13">
                  <c:v>21.178307900317577</c:v>
                </c:pt>
                <c:pt idx="14">
                  <c:v>16.33920000000073</c:v>
                </c:pt>
                <c:pt idx="15">
                  <c:v>26.190323511765527</c:v>
                </c:pt>
                <c:pt idx="16">
                  <c:v>22.067685978047887</c:v>
                </c:pt>
                <c:pt idx="17">
                  <c:v>27.071048094113479</c:v>
                </c:pt>
                <c:pt idx="18">
                  <c:v>27.339335607030392</c:v>
                </c:pt>
                <c:pt idx="19">
                  <c:v>20.136299999999675</c:v>
                </c:pt>
                <c:pt idx="20">
                  <c:v>19.086000000000098</c:v>
                </c:pt>
                <c:pt idx="21">
                  <c:v>22.422000000000001</c:v>
                </c:pt>
                <c:pt idx="22">
                  <c:v>13.394999999995163</c:v>
                </c:pt>
                <c:pt idx="23">
                  <c:v>26.999051764701608</c:v>
                </c:pt>
                <c:pt idx="24">
                  <c:v>16.090530088193475</c:v>
                </c:pt>
              </c:numCache>
            </c:numRef>
          </c:xVal>
          <c:yVal>
            <c:numRef>
              <c:f>'All Data (dataset 2)'!$G$84:$G$108</c:f>
              <c:numCache>
                <c:formatCode>General</c:formatCode>
                <c:ptCount val="25"/>
                <c:pt idx="0">
                  <c:v>178.55986063999978</c:v>
                </c:pt>
                <c:pt idx="1">
                  <c:v>340.37905812139587</c:v>
                </c:pt>
                <c:pt idx="2">
                  <c:v>182.63889794765294</c:v>
                </c:pt>
                <c:pt idx="3">
                  <c:v>242.68199999999436</c:v>
                </c:pt>
                <c:pt idx="4">
                  <c:v>169.83240000000004</c:v>
                </c:pt>
                <c:pt idx="5">
                  <c:v>552.97144175999995</c:v>
                </c:pt>
                <c:pt idx="6">
                  <c:v>217.6355087985477</c:v>
                </c:pt>
                <c:pt idx="7">
                  <c:v>184.20239999999984</c:v>
                </c:pt>
                <c:pt idx="8">
                  <c:v>159.24805774971136</c:v>
                </c:pt>
                <c:pt idx="9">
                  <c:v>301.61215956541196</c:v>
                </c:pt>
                <c:pt idx="10">
                  <c:v>218.07088535308668</c:v>
                </c:pt>
                <c:pt idx="11">
                  <c:v>256.02550949111617</c:v>
                </c:pt>
                <c:pt idx="12">
                  <c:v>559.05236689916728</c:v>
                </c:pt>
                <c:pt idx="13">
                  <c:v>403.6620200942827</c:v>
                </c:pt>
                <c:pt idx="14">
                  <c:v>353.55864367151293</c:v>
                </c:pt>
                <c:pt idx="15">
                  <c:v>521.36237802390303</c:v>
                </c:pt>
                <c:pt idx="16">
                  <c:v>530.44121365596561</c:v>
                </c:pt>
                <c:pt idx="17">
                  <c:v>497.44749309176234</c:v>
                </c:pt>
                <c:pt idx="18">
                  <c:v>517.33538910520599</c:v>
                </c:pt>
                <c:pt idx="19">
                  <c:v>422.07809643010341</c:v>
                </c:pt>
                <c:pt idx="20">
                  <c:v>387.39479999999998</c:v>
                </c:pt>
                <c:pt idx="21">
                  <c:v>526.93979999999988</c:v>
                </c:pt>
                <c:pt idx="22">
                  <c:v>240.30809999999769</c:v>
                </c:pt>
                <c:pt idx="23">
                  <c:v>498.93304243764453</c:v>
                </c:pt>
                <c:pt idx="24">
                  <c:v>334.92233180419038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31-4C67-95F3-16F0DAAD3BFB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2)'!$F$140:$F$151</c:f>
              <c:numCache>
                <c:formatCode>General</c:formatCode>
                <c:ptCount val="12"/>
                <c:pt idx="0">
                  <c:v>11.393531322500698</c:v>
                </c:pt>
                <c:pt idx="1">
                  <c:v>12.285332570093937</c:v>
                </c:pt>
                <c:pt idx="2">
                  <c:v>23.56542752499842</c:v>
                </c:pt>
                <c:pt idx="3">
                  <c:v>11.990650156666428</c:v>
                </c:pt>
                <c:pt idx="4">
                  <c:v>17.283599999999968</c:v>
                </c:pt>
                <c:pt idx="5">
                  <c:v>17.790648849835058</c:v>
                </c:pt>
                <c:pt idx="6">
                  <c:v>20.233381415732683</c:v>
                </c:pt>
                <c:pt idx="7">
                  <c:v>9.9350536485328842</c:v>
                </c:pt>
                <c:pt idx="8">
                  <c:v>11.77665961250081</c:v>
                </c:pt>
                <c:pt idx="9">
                  <c:v>12.414593957682301</c:v>
                </c:pt>
                <c:pt idx="10">
                  <c:v>10.12844069601827</c:v>
                </c:pt>
                <c:pt idx="11">
                  <c:v>14.158822452174912</c:v>
                </c:pt>
              </c:numCache>
            </c:numRef>
          </c:xVal>
          <c:yVal>
            <c:numRef>
              <c:f>'All Data (dataset 2)'!$G$140:$G$151</c:f>
              <c:numCache>
                <c:formatCode>General</c:formatCode>
                <c:ptCount val="12"/>
                <c:pt idx="0">
                  <c:v>236.18810812499981</c:v>
                </c:pt>
                <c:pt idx="1">
                  <c:v>256.57732728687955</c:v>
                </c:pt>
                <c:pt idx="2">
                  <c:v>527.06882303249881</c:v>
                </c:pt>
                <c:pt idx="3">
                  <c:v>261.17692526275403</c:v>
                </c:pt>
                <c:pt idx="4">
                  <c:v>360.78210000000001</c:v>
                </c:pt>
                <c:pt idx="5">
                  <c:v>369.31674307917132</c:v>
                </c:pt>
                <c:pt idx="6">
                  <c:v>404.99093146994852</c:v>
                </c:pt>
                <c:pt idx="7">
                  <c:v>186.11332479736413</c:v>
                </c:pt>
                <c:pt idx="8">
                  <c:v>233.4736145374998</c:v>
                </c:pt>
                <c:pt idx="9">
                  <c:v>251.89549266775174</c:v>
                </c:pt>
                <c:pt idx="10">
                  <c:v>212.52860331422897</c:v>
                </c:pt>
                <c:pt idx="11">
                  <c:v>270.25498746086953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31-4C67-95F3-16F0DAAD3BFB}"/>
            </c:ext>
          </c:extLst>
        </c:ser>
        <c:ser>
          <c:idx val="3"/>
          <c:order val="2"/>
          <c:tx>
            <c:strRef>
              <c:f>'All Data (dataset 2)'!$B$15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'All Data (dataset 2)'!$C$17:$C$18</c:f>
              <c:numCache>
                <c:formatCode>General</c:formatCode>
                <c:ptCount val="2"/>
                <c:pt idx="0">
                  <c:v>122.67844033235096</c:v>
                </c:pt>
                <c:pt idx="1">
                  <c:v>572.49938821763783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31-4C67-95F3-16F0DAAD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2)'!$O$84:$O$108</c:f>
              <c:numCache>
                <c:formatCode>General</c:formatCode>
                <c:ptCount val="25"/>
                <c:pt idx="0">
                  <c:v>178.55986063999978</c:v>
                </c:pt>
                <c:pt idx="1">
                  <c:v>340.37905812139587</c:v>
                </c:pt>
                <c:pt idx="2">
                  <c:v>182.63889794765294</c:v>
                </c:pt>
                <c:pt idx="3">
                  <c:v>242.68199999999436</c:v>
                </c:pt>
                <c:pt idx="4">
                  <c:v>169.83240000000004</c:v>
                </c:pt>
                <c:pt idx="5">
                  <c:v>552.97144175999995</c:v>
                </c:pt>
                <c:pt idx="6">
                  <c:v>217.6355087985477</c:v>
                </c:pt>
                <c:pt idx="7">
                  <c:v>184.20239999999984</c:v>
                </c:pt>
                <c:pt idx="8">
                  <c:v>159.24805774971136</c:v>
                </c:pt>
                <c:pt idx="9">
                  <c:v>301.61215956541196</c:v>
                </c:pt>
                <c:pt idx="10">
                  <c:v>218.07088535308668</c:v>
                </c:pt>
                <c:pt idx="11">
                  <c:v>256.02550949111617</c:v>
                </c:pt>
                <c:pt idx="12">
                  <c:v>559.05236689916728</c:v>
                </c:pt>
                <c:pt idx="13">
                  <c:v>403.6620200942827</c:v>
                </c:pt>
                <c:pt idx="14">
                  <c:v>353.55864367151293</c:v>
                </c:pt>
                <c:pt idx="15">
                  <c:v>521.36237802390303</c:v>
                </c:pt>
                <c:pt idx="16">
                  <c:v>530.44121365596561</c:v>
                </c:pt>
                <c:pt idx="17">
                  <c:v>497.44749309176234</c:v>
                </c:pt>
                <c:pt idx="18">
                  <c:v>517.33538910520599</c:v>
                </c:pt>
                <c:pt idx="19">
                  <c:v>422.07809643010341</c:v>
                </c:pt>
                <c:pt idx="20">
                  <c:v>387.39479999999998</c:v>
                </c:pt>
                <c:pt idx="21">
                  <c:v>526.93979999999988</c:v>
                </c:pt>
                <c:pt idx="22">
                  <c:v>240.30809999999769</c:v>
                </c:pt>
                <c:pt idx="23">
                  <c:v>498.93304243764453</c:v>
                </c:pt>
                <c:pt idx="24">
                  <c:v>334.92233180419038</c:v>
                </c:pt>
              </c:numCache>
            </c:numRef>
          </c:xVal>
          <c:yVal>
            <c:numRef>
              <c:f>'All Data (dataset 2)'!$P$84:$P$108</c:f>
              <c:numCache>
                <c:formatCode>General</c:formatCode>
                <c:ptCount val="25"/>
                <c:pt idx="0">
                  <c:v>157.93299980581548</c:v>
                </c:pt>
                <c:pt idx="1">
                  <c:v>367.43124230429459</c:v>
                </c:pt>
                <c:pt idx="2">
                  <c:v>159.47025245217893</c:v>
                </c:pt>
                <c:pt idx="3">
                  <c:v>230.53732507241853</c:v>
                </c:pt>
                <c:pt idx="4">
                  <c:v>142.60141904232466</c:v>
                </c:pt>
                <c:pt idx="5">
                  <c:v>499.91929926507021</c:v>
                </c:pt>
                <c:pt idx="6">
                  <c:v>236.17099586550935</c:v>
                </c:pt>
                <c:pt idx="7">
                  <c:v>183.80910714997799</c:v>
                </c:pt>
                <c:pt idx="8">
                  <c:v>191.41979804224036</c:v>
                </c:pt>
                <c:pt idx="9">
                  <c:v>298.90601986978618</c:v>
                </c:pt>
                <c:pt idx="10">
                  <c:v>232.4835994174301</c:v>
                </c:pt>
                <c:pt idx="11">
                  <c:v>262.27777497410409</c:v>
                </c:pt>
                <c:pt idx="12">
                  <c:v>513.89484192578027</c:v>
                </c:pt>
                <c:pt idx="13">
                  <c:v>433.02029701487783</c:v>
                </c:pt>
                <c:pt idx="14">
                  <c:v>334.07792871307311</c:v>
                </c:pt>
                <c:pt idx="15">
                  <c:v>535.49800670384934</c:v>
                </c:pt>
                <c:pt idx="16">
                  <c:v>451.20488292183433</c:v>
                </c:pt>
                <c:pt idx="17">
                  <c:v>553.50565972465063</c:v>
                </c:pt>
                <c:pt idx="18">
                  <c:v>558.99117533219942</c:v>
                </c:pt>
                <c:pt idx="19">
                  <c:v>411.7149796773798</c:v>
                </c:pt>
                <c:pt idx="20">
                  <c:v>390.24011869721045</c:v>
                </c:pt>
                <c:pt idx="21">
                  <c:v>458.44933152199559</c:v>
                </c:pt>
                <c:pt idx="22">
                  <c:v>273.87961804187461</c:v>
                </c:pt>
                <c:pt idx="23">
                  <c:v>552.03359349100026</c:v>
                </c:pt>
                <c:pt idx="24">
                  <c:v>328.99352255672352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E-417D-9FC5-0F5402C6B603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2)'!$O$140:$O$151</c:f>
              <c:numCache>
                <c:formatCode>General</c:formatCode>
                <c:ptCount val="12"/>
                <c:pt idx="0">
                  <c:v>236.18810812499981</c:v>
                </c:pt>
                <c:pt idx="1">
                  <c:v>256.57732728687955</c:v>
                </c:pt>
                <c:pt idx="2">
                  <c:v>527.06882303249881</c:v>
                </c:pt>
                <c:pt idx="3">
                  <c:v>261.17692526275403</c:v>
                </c:pt>
                <c:pt idx="4">
                  <c:v>360.78210000000001</c:v>
                </c:pt>
                <c:pt idx="5">
                  <c:v>369.31674307917132</c:v>
                </c:pt>
                <c:pt idx="6">
                  <c:v>404.99093146994852</c:v>
                </c:pt>
                <c:pt idx="7">
                  <c:v>186.11332479736413</c:v>
                </c:pt>
                <c:pt idx="8">
                  <c:v>233.4736145374998</c:v>
                </c:pt>
                <c:pt idx="9">
                  <c:v>251.89549266775174</c:v>
                </c:pt>
                <c:pt idx="10">
                  <c:v>212.52860331422897</c:v>
                </c:pt>
                <c:pt idx="11">
                  <c:v>270.25498746086953</c:v>
                </c:pt>
              </c:numCache>
            </c:numRef>
          </c:xVal>
          <c:yVal>
            <c:numRef>
              <c:f>'All Data (dataset 2)'!$P$140:$P$151</c:f>
              <c:numCache>
                <c:formatCode>General</c:formatCode>
                <c:ptCount val="12"/>
                <c:pt idx="0">
                  <c:v>232.95677542036228</c:v>
                </c:pt>
                <c:pt idx="1">
                  <c:v>251.19090644389283</c:v>
                </c:pt>
                <c:pt idx="2">
                  <c:v>481.82831575530997</c:v>
                </c:pt>
                <c:pt idx="3">
                  <c:v>245.16570996511618</c:v>
                </c:pt>
                <c:pt idx="4">
                  <c:v>353.38751522136954</c:v>
                </c:pt>
                <c:pt idx="5">
                  <c:v>363.75484223304977</c:v>
                </c:pt>
                <c:pt idx="6">
                  <c:v>413.69994578861014</c:v>
                </c:pt>
                <c:pt idx="7">
                  <c:v>203.13614770337455</c:v>
                </c:pt>
                <c:pt idx="8">
                  <c:v>240.79037226443134</c:v>
                </c:pt>
                <c:pt idx="9">
                  <c:v>253.83383734798218</c:v>
                </c:pt>
                <c:pt idx="10">
                  <c:v>207.09021793103878</c:v>
                </c:pt>
                <c:pt idx="11">
                  <c:v>289.49704256258184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6E-417D-9FC5-0F5402C6B603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56E-417D-9FC5-0F5402C6B603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6E-417D-9FC5-0F5402C6B603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6E-417D-9FC5-0F5402C6B603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6E-417D-9FC5-0F5402C6B603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6E-417D-9FC5-0F5402C6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2.0458434608216072E-2"/>
          <c:w val="0.78216419753086419"/>
          <c:h val="0.8248184135880301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2)'!$F$84:$F$108</c:f>
              <c:numCache>
                <c:formatCode>General</c:formatCode>
                <c:ptCount val="25"/>
                <c:pt idx="0">
                  <c:v>7.7242423058830347</c:v>
                </c:pt>
                <c:pt idx="1">
                  <c:v>17.970455508345797</c:v>
                </c:pt>
                <c:pt idx="2">
                  <c:v>7.7994267951314553</c:v>
                </c:pt>
                <c:pt idx="3">
                  <c:v>11.275199999993378</c:v>
                </c:pt>
                <c:pt idx="4">
                  <c:v>6.9743999999999957</c:v>
                </c:pt>
                <c:pt idx="5">
                  <c:v>24.450227664000003</c:v>
                </c:pt>
                <c:pt idx="6">
                  <c:v>11.550733538461678</c:v>
                </c:pt>
                <c:pt idx="7">
                  <c:v>8.9898000000008089</c:v>
                </c:pt>
                <c:pt idx="8">
                  <c:v>9.3620263278695397</c:v>
                </c:pt>
                <c:pt idx="9">
                  <c:v>14.619000000000637</c:v>
                </c:pt>
                <c:pt idx="10">
                  <c:v>11.370389065312706</c:v>
                </c:pt>
                <c:pt idx="11">
                  <c:v>12.827573007786603</c:v>
                </c:pt>
                <c:pt idx="12">
                  <c:v>25.133748384813632</c:v>
                </c:pt>
                <c:pt idx="13">
                  <c:v>21.178307900317577</c:v>
                </c:pt>
                <c:pt idx="14">
                  <c:v>16.33920000000073</c:v>
                </c:pt>
                <c:pt idx="15">
                  <c:v>26.190323511765527</c:v>
                </c:pt>
                <c:pt idx="16">
                  <c:v>22.067685978047887</c:v>
                </c:pt>
                <c:pt idx="17">
                  <c:v>27.071048094113479</c:v>
                </c:pt>
                <c:pt idx="18">
                  <c:v>27.339335607030392</c:v>
                </c:pt>
                <c:pt idx="19">
                  <c:v>20.136299999999675</c:v>
                </c:pt>
                <c:pt idx="20">
                  <c:v>19.086000000000098</c:v>
                </c:pt>
                <c:pt idx="21">
                  <c:v>22.422000000000001</c:v>
                </c:pt>
                <c:pt idx="22">
                  <c:v>13.394999999995163</c:v>
                </c:pt>
                <c:pt idx="23">
                  <c:v>26.999051764701608</c:v>
                </c:pt>
                <c:pt idx="24">
                  <c:v>16.090530088193475</c:v>
                </c:pt>
              </c:numCache>
            </c:numRef>
          </c:xVal>
          <c:yVal>
            <c:numRef>
              <c:f>'All Data (dataset 2)'!$G$84:$G$108</c:f>
              <c:numCache>
                <c:formatCode>General</c:formatCode>
                <c:ptCount val="25"/>
                <c:pt idx="0">
                  <c:v>178.55986063999978</c:v>
                </c:pt>
                <c:pt idx="1">
                  <c:v>340.37905812139587</c:v>
                </c:pt>
                <c:pt idx="2">
                  <c:v>182.63889794765294</c:v>
                </c:pt>
                <c:pt idx="3">
                  <c:v>242.68199999999436</c:v>
                </c:pt>
                <c:pt idx="4">
                  <c:v>169.83240000000004</c:v>
                </c:pt>
                <c:pt idx="5">
                  <c:v>552.97144175999995</c:v>
                </c:pt>
                <c:pt idx="6">
                  <c:v>217.6355087985477</c:v>
                </c:pt>
                <c:pt idx="7">
                  <c:v>184.20239999999984</c:v>
                </c:pt>
                <c:pt idx="8">
                  <c:v>159.24805774971136</c:v>
                </c:pt>
                <c:pt idx="9">
                  <c:v>301.61215956541196</c:v>
                </c:pt>
                <c:pt idx="10">
                  <c:v>218.07088535308668</c:v>
                </c:pt>
                <c:pt idx="11">
                  <c:v>256.02550949111617</c:v>
                </c:pt>
                <c:pt idx="12">
                  <c:v>559.05236689916728</c:v>
                </c:pt>
                <c:pt idx="13">
                  <c:v>403.6620200942827</c:v>
                </c:pt>
                <c:pt idx="14">
                  <c:v>353.55864367151293</c:v>
                </c:pt>
                <c:pt idx="15">
                  <c:v>521.36237802390303</c:v>
                </c:pt>
                <c:pt idx="16">
                  <c:v>530.44121365596561</c:v>
                </c:pt>
                <c:pt idx="17">
                  <c:v>497.44749309176234</c:v>
                </c:pt>
                <c:pt idx="18">
                  <c:v>517.33538910520599</c:v>
                </c:pt>
                <c:pt idx="19">
                  <c:v>422.07809643010341</c:v>
                </c:pt>
                <c:pt idx="20">
                  <c:v>387.39479999999998</c:v>
                </c:pt>
                <c:pt idx="21">
                  <c:v>526.93979999999988</c:v>
                </c:pt>
                <c:pt idx="22">
                  <c:v>240.30809999999769</c:v>
                </c:pt>
                <c:pt idx="23">
                  <c:v>498.93304243764453</c:v>
                </c:pt>
                <c:pt idx="24">
                  <c:v>334.92233180419038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A-4D3C-8D29-7D01097DD6A7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2)'!$F$140:$F$151</c:f>
              <c:numCache>
                <c:formatCode>General</c:formatCode>
                <c:ptCount val="12"/>
                <c:pt idx="0">
                  <c:v>11.393531322500698</c:v>
                </c:pt>
                <c:pt idx="1">
                  <c:v>12.285332570093937</c:v>
                </c:pt>
                <c:pt idx="2">
                  <c:v>23.56542752499842</c:v>
                </c:pt>
                <c:pt idx="3">
                  <c:v>11.990650156666428</c:v>
                </c:pt>
                <c:pt idx="4">
                  <c:v>17.283599999999968</c:v>
                </c:pt>
                <c:pt idx="5">
                  <c:v>17.790648849835058</c:v>
                </c:pt>
                <c:pt idx="6">
                  <c:v>20.233381415732683</c:v>
                </c:pt>
                <c:pt idx="7">
                  <c:v>9.9350536485328842</c:v>
                </c:pt>
                <c:pt idx="8">
                  <c:v>11.77665961250081</c:v>
                </c:pt>
                <c:pt idx="9">
                  <c:v>12.414593957682301</c:v>
                </c:pt>
                <c:pt idx="10">
                  <c:v>10.12844069601827</c:v>
                </c:pt>
                <c:pt idx="11">
                  <c:v>14.158822452174912</c:v>
                </c:pt>
              </c:numCache>
            </c:numRef>
          </c:xVal>
          <c:yVal>
            <c:numRef>
              <c:f>'All Data (dataset 2)'!$G$140:$G$151</c:f>
              <c:numCache>
                <c:formatCode>General</c:formatCode>
                <c:ptCount val="12"/>
                <c:pt idx="0">
                  <c:v>236.18810812499981</c:v>
                </c:pt>
                <c:pt idx="1">
                  <c:v>256.57732728687955</c:v>
                </c:pt>
                <c:pt idx="2">
                  <c:v>527.06882303249881</c:v>
                </c:pt>
                <c:pt idx="3">
                  <c:v>261.17692526275403</c:v>
                </c:pt>
                <c:pt idx="4">
                  <c:v>360.78210000000001</c:v>
                </c:pt>
                <c:pt idx="5">
                  <c:v>369.31674307917132</c:v>
                </c:pt>
                <c:pt idx="6">
                  <c:v>404.99093146994852</c:v>
                </c:pt>
                <c:pt idx="7">
                  <c:v>186.11332479736413</c:v>
                </c:pt>
                <c:pt idx="8">
                  <c:v>233.4736145374998</c:v>
                </c:pt>
                <c:pt idx="9">
                  <c:v>251.89549266775174</c:v>
                </c:pt>
                <c:pt idx="10">
                  <c:v>212.52860331422897</c:v>
                </c:pt>
                <c:pt idx="11">
                  <c:v>270.25498746086953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1A-4D3C-8D29-7D01097DD6A7}"/>
            </c:ext>
          </c:extLst>
        </c:ser>
        <c:ser>
          <c:idx val="3"/>
          <c:order val="2"/>
          <c:tx>
            <c:strRef>
              <c:f>'All Data (dataset 2)'!$B$15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'All Data (dataset 2)'!$C$17:$C$18</c:f>
              <c:numCache>
                <c:formatCode>General</c:formatCode>
                <c:ptCount val="2"/>
                <c:pt idx="0">
                  <c:v>122.67844033235096</c:v>
                </c:pt>
                <c:pt idx="1">
                  <c:v>572.49938821763783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1A-4D3C-8D29-7D01097D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  <c:majorUnit val="100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64835389924771"/>
          <c:y val="0.65478913511946724"/>
          <c:w val="0.3776727412667279"/>
          <c:h val="0.17177908787498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2)'!$O$84:$O$108</c:f>
              <c:numCache>
                <c:formatCode>General</c:formatCode>
                <c:ptCount val="25"/>
                <c:pt idx="0">
                  <c:v>178.55986063999978</c:v>
                </c:pt>
                <c:pt idx="1">
                  <c:v>340.37905812139587</c:v>
                </c:pt>
                <c:pt idx="2">
                  <c:v>182.63889794765294</c:v>
                </c:pt>
                <c:pt idx="3">
                  <c:v>242.68199999999436</c:v>
                </c:pt>
                <c:pt idx="4">
                  <c:v>169.83240000000004</c:v>
                </c:pt>
                <c:pt idx="5">
                  <c:v>552.97144175999995</c:v>
                </c:pt>
                <c:pt idx="6">
                  <c:v>217.6355087985477</c:v>
                </c:pt>
                <c:pt idx="7">
                  <c:v>184.20239999999984</c:v>
                </c:pt>
                <c:pt idx="8">
                  <c:v>159.24805774971136</c:v>
                </c:pt>
                <c:pt idx="9">
                  <c:v>301.61215956541196</c:v>
                </c:pt>
                <c:pt idx="10">
                  <c:v>218.07088535308668</c:v>
                </c:pt>
                <c:pt idx="11">
                  <c:v>256.02550949111617</c:v>
                </c:pt>
                <c:pt idx="12">
                  <c:v>559.05236689916728</c:v>
                </c:pt>
                <c:pt idx="13">
                  <c:v>403.6620200942827</c:v>
                </c:pt>
                <c:pt idx="14">
                  <c:v>353.55864367151293</c:v>
                </c:pt>
                <c:pt idx="15">
                  <c:v>521.36237802390303</c:v>
                </c:pt>
                <c:pt idx="16">
                  <c:v>530.44121365596561</c:v>
                </c:pt>
                <c:pt idx="17">
                  <c:v>497.44749309176234</c:v>
                </c:pt>
                <c:pt idx="18">
                  <c:v>517.33538910520599</c:v>
                </c:pt>
                <c:pt idx="19">
                  <c:v>422.07809643010341</c:v>
                </c:pt>
                <c:pt idx="20">
                  <c:v>387.39479999999998</c:v>
                </c:pt>
                <c:pt idx="21">
                  <c:v>526.93979999999988</c:v>
                </c:pt>
                <c:pt idx="22">
                  <c:v>240.30809999999769</c:v>
                </c:pt>
                <c:pt idx="23">
                  <c:v>498.93304243764453</c:v>
                </c:pt>
                <c:pt idx="24">
                  <c:v>334.92233180419038</c:v>
                </c:pt>
              </c:numCache>
            </c:numRef>
          </c:xVal>
          <c:yVal>
            <c:numRef>
              <c:f>'All Data (dataset 2)'!$P$84:$P$108</c:f>
              <c:numCache>
                <c:formatCode>General</c:formatCode>
                <c:ptCount val="25"/>
                <c:pt idx="0">
                  <c:v>157.93299980581548</c:v>
                </c:pt>
                <c:pt idx="1">
                  <c:v>367.43124230429459</c:v>
                </c:pt>
                <c:pt idx="2">
                  <c:v>159.47025245217893</c:v>
                </c:pt>
                <c:pt idx="3">
                  <c:v>230.53732507241853</c:v>
                </c:pt>
                <c:pt idx="4">
                  <c:v>142.60141904232466</c:v>
                </c:pt>
                <c:pt idx="5">
                  <c:v>499.91929926507021</c:v>
                </c:pt>
                <c:pt idx="6">
                  <c:v>236.17099586550935</c:v>
                </c:pt>
                <c:pt idx="7">
                  <c:v>183.80910714997799</c:v>
                </c:pt>
                <c:pt idx="8">
                  <c:v>191.41979804224036</c:v>
                </c:pt>
                <c:pt idx="9">
                  <c:v>298.90601986978618</c:v>
                </c:pt>
                <c:pt idx="10">
                  <c:v>232.4835994174301</c:v>
                </c:pt>
                <c:pt idx="11">
                  <c:v>262.27777497410409</c:v>
                </c:pt>
                <c:pt idx="12">
                  <c:v>513.89484192578027</c:v>
                </c:pt>
                <c:pt idx="13">
                  <c:v>433.02029701487783</c:v>
                </c:pt>
                <c:pt idx="14">
                  <c:v>334.07792871307311</c:v>
                </c:pt>
                <c:pt idx="15">
                  <c:v>535.49800670384934</c:v>
                </c:pt>
                <c:pt idx="16">
                  <c:v>451.20488292183433</c:v>
                </c:pt>
                <c:pt idx="17">
                  <c:v>553.50565972465063</c:v>
                </c:pt>
                <c:pt idx="18">
                  <c:v>558.99117533219942</c:v>
                </c:pt>
                <c:pt idx="19">
                  <c:v>411.7149796773798</c:v>
                </c:pt>
                <c:pt idx="20">
                  <c:v>390.24011869721045</c:v>
                </c:pt>
                <c:pt idx="21">
                  <c:v>458.44933152199559</c:v>
                </c:pt>
                <c:pt idx="22">
                  <c:v>273.87961804187461</c:v>
                </c:pt>
                <c:pt idx="23">
                  <c:v>552.03359349100026</c:v>
                </c:pt>
                <c:pt idx="24">
                  <c:v>328.99352255672352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F-4C8F-BA48-232B5FE28861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'All Data (dataset 2)'!$O$140:$O$151</c:f>
              <c:numCache>
                <c:formatCode>General</c:formatCode>
                <c:ptCount val="12"/>
                <c:pt idx="0">
                  <c:v>236.18810812499981</c:v>
                </c:pt>
                <c:pt idx="1">
                  <c:v>256.57732728687955</c:v>
                </c:pt>
                <c:pt idx="2">
                  <c:v>527.06882303249881</c:v>
                </c:pt>
                <c:pt idx="3">
                  <c:v>261.17692526275403</c:v>
                </c:pt>
                <c:pt idx="4">
                  <c:v>360.78210000000001</c:v>
                </c:pt>
                <c:pt idx="5">
                  <c:v>369.31674307917132</c:v>
                </c:pt>
                <c:pt idx="6">
                  <c:v>404.99093146994852</c:v>
                </c:pt>
                <c:pt idx="7">
                  <c:v>186.11332479736413</c:v>
                </c:pt>
                <c:pt idx="8">
                  <c:v>233.4736145374998</c:v>
                </c:pt>
                <c:pt idx="9">
                  <c:v>251.89549266775174</c:v>
                </c:pt>
                <c:pt idx="10">
                  <c:v>212.52860331422897</c:v>
                </c:pt>
                <c:pt idx="11">
                  <c:v>270.25498746086953</c:v>
                </c:pt>
              </c:numCache>
            </c:numRef>
          </c:xVal>
          <c:yVal>
            <c:numRef>
              <c:f>'All Data (dataset 2)'!$P$140:$P$151</c:f>
              <c:numCache>
                <c:formatCode>General</c:formatCode>
                <c:ptCount val="12"/>
                <c:pt idx="0">
                  <c:v>232.95677542036228</c:v>
                </c:pt>
                <c:pt idx="1">
                  <c:v>251.19090644389283</c:v>
                </c:pt>
                <c:pt idx="2">
                  <c:v>481.82831575530997</c:v>
                </c:pt>
                <c:pt idx="3">
                  <c:v>245.16570996511618</c:v>
                </c:pt>
                <c:pt idx="4">
                  <c:v>353.38751522136954</c:v>
                </c:pt>
                <c:pt idx="5">
                  <c:v>363.75484223304977</c:v>
                </c:pt>
                <c:pt idx="6">
                  <c:v>413.69994578861014</c:v>
                </c:pt>
                <c:pt idx="7">
                  <c:v>203.13614770337455</c:v>
                </c:pt>
                <c:pt idx="8">
                  <c:v>240.79037226443134</c:v>
                </c:pt>
                <c:pt idx="9">
                  <c:v>253.83383734798218</c:v>
                </c:pt>
                <c:pt idx="10">
                  <c:v>207.09021793103878</c:v>
                </c:pt>
                <c:pt idx="11">
                  <c:v>289.49704256258184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F-4C8F-BA48-232B5FE28861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55F-4C8F-BA48-232B5FE28861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5F-4C8F-BA48-232B5FE28861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5F-4C8F-BA48-232B5FE28861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5F-4C8F-BA48-232B5FE28861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'All Data (dataset 2)'!$O$17:$O$18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'All Data (dataset 2)'!$R$17:$R$18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5F-4C8F-BA48-232B5FE2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9066242290758497"/>
          <c:y val="0.63707660302128344"/>
          <c:w val="0.35220679518073789"/>
          <c:h val="0.1984097179371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3)'!$F$55:$F$75</c:f>
              <c:numCache>
                <c:formatCode>General</c:formatCode>
                <c:ptCount val="21"/>
                <c:pt idx="0">
                  <c:v>24.450227664</c:v>
                </c:pt>
                <c:pt idx="1">
                  <c:v>9.2355319538814236</c:v>
                </c:pt>
                <c:pt idx="2">
                  <c:v>16.33920000000073</c:v>
                </c:pt>
                <c:pt idx="3">
                  <c:v>20.233381415732683</c:v>
                </c:pt>
                <c:pt idx="4">
                  <c:v>12.285332570093937</c:v>
                </c:pt>
                <c:pt idx="5">
                  <c:v>26.190323511765527</c:v>
                </c:pt>
                <c:pt idx="6">
                  <c:v>12.414593957682301</c:v>
                </c:pt>
                <c:pt idx="7">
                  <c:v>21.178307900317577</c:v>
                </c:pt>
                <c:pt idx="8">
                  <c:v>17.790648849835058</c:v>
                </c:pt>
                <c:pt idx="9">
                  <c:v>11.990650156666428</c:v>
                </c:pt>
                <c:pt idx="10">
                  <c:v>8.9898000000008071</c:v>
                </c:pt>
                <c:pt idx="11">
                  <c:v>19.795800000000789</c:v>
                </c:pt>
                <c:pt idx="12">
                  <c:v>11.393531322500698</c:v>
                </c:pt>
                <c:pt idx="13">
                  <c:v>14.747651848983457</c:v>
                </c:pt>
                <c:pt idx="14">
                  <c:v>17.790648849835058</c:v>
                </c:pt>
                <c:pt idx="15">
                  <c:v>6.9743999999999957</c:v>
                </c:pt>
                <c:pt idx="16">
                  <c:v>27.339335607030389</c:v>
                </c:pt>
                <c:pt idx="17">
                  <c:v>15.972408843058197</c:v>
                </c:pt>
                <c:pt idx="18">
                  <c:v>7.7242423058830347</c:v>
                </c:pt>
                <c:pt idx="19">
                  <c:v>25.152330906320181</c:v>
                </c:pt>
                <c:pt idx="20">
                  <c:v>11.346010588618963</c:v>
                </c:pt>
              </c:numCache>
            </c:numRef>
          </c:xVal>
          <c:yVal>
            <c:numRef>
              <c:f>'Solidification (dataset 3)'!$G$55:$G$75</c:f>
              <c:numCache>
                <c:formatCode>General</c:formatCode>
                <c:ptCount val="21"/>
                <c:pt idx="0">
                  <c:v>552.97144175999995</c:v>
                </c:pt>
                <c:pt idx="1">
                  <c:v>177.19746032724149</c:v>
                </c:pt>
                <c:pt idx="2">
                  <c:v>353.55864367151293</c:v>
                </c:pt>
                <c:pt idx="3">
                  <c:v>404.99093146994846</c:v>
                </c:pt>
                <c:pt idx="4">
                  <c:v>256.57732728687955</c:v>
                </c:pt>
                <c:pt idx="5">
                  <c:v>521.36237802390292</c:v>
                </c:pt>
                <c:pt idx="6">
                  <c:v>251.89549266775174</c:v>
                </c:pt>
                <c:pt idx="7">
                  <c:v>403.6620200942827</c:v>
                </c:pt>
                <c:pt idx="8">
                  <c:v>369.31674307917132</c:v>
                </c:pt>
                <c:pt idx="9">
                  <c:v>261.17692526275397</c:v>
                </c:pt>
                <c:pt idx="10">
                  <c:v>184.20239999999984</c:v>
                </c:pt>
                <c:pt idx="11">
                  <c:v>417.0263999999998</c:v>
                </c:pt>
                <c:pt idx="12">
                  <c:v>236.18810812499981</c:v>
                </c:pt>
                <c:pt idx="13">
                  <c:v>292.58543252599304</c:v>
                </c:pt>
                <c:pt idx="14">
                  <c:v>369.31674307917132</c:v>
                </c:pt>
                <c:pt idx="15">
                  <c:v>169.83240000000001</c:v>
                </c:pt>
                <c:pt idx="16">
                  <c:v>517.33538910520599</c:v>
                </c:pt>
                <c:pt idx="17">
                  <c:v>309.82490270263128</c:v>
                </c:pt>
                <c:pt idx="18">
                  <c:v>178.55986063999981</c:v>
                </c:pt>
                <c:pt idx="19">
                  <c:v>531.35713106848095</c:v>
                </c:pt>
                <c:pt idx="20">
                  <c:v>205.62869365733505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D-44B1-8ED1-45AA2723D8B7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3)'!$F$78:$F$89</c:f>
              <c:numCache>
                <c:formatCode>General</c:formatCode>
                <c:ptCount val="12"/>
                <c:pt idx="0">
                  <c:v>25.133748384813632</c:v>
                </c:pt>
                <c:pt idx="1">
                  <c:v>14.158822452174912</c:v>
                </c:pt>
                <c:pt idx="2">
                  <c:v>23.56542752499842</c:v>
                </c:pt>
                <c:pt idx="3">
                  <c:v>11.776659612500808</c:v>
                </c:pt>
                <c:pt idx="4">
                  <c:v>17.283599999999968</c:v>
                </c:pt>
                <c:pt idx="5">
                  <c:v>18.948021681361002</c:v>
                </c:pt>
                <c:pt idx="6">
                  <c:v>20.136299999999675</c:v>
                </c:pt>
                <c:pt idx="7">
                  <c:v>19.086000000000098</c:v>
                </c:pt>
                <c:pt idx="8">
                  <c:v>9.9350536485328842</c:v>
                </c:pt>
              </c:numCache>
            </c:numRef>
          </c:xVal>
          <c:yVal>
            <c:numRef>
              <c:f>'Solidification (dataset 3)'!$G$78:$G$89</c:f>
              <c:numCache>
                <c:formatCode>General</c:formatCode>
                <c:ptCount val="12"/>
                <c:pt idx="0">
                  <c:v>559.05236689916728</c:v>
                </c:pt>
                <c:pt idx="1">
                  <c:v>270.25498746086953</c:v>
                </c:pt>
                <c:pt idx="2">
                  <c:v>527.0688230324987</c:v>
                </c:pt>
                <c:pt idx="3">
                  <c:v>233.47361453749977</c:v>
                </c:pt>
                <c:pt idx="4">
                  <c:v>360.78210000000007</c:v>
                </c:pt>
                <c:pt idx="5">
                  <c:v>412.39364114077745</c:v>
                </c:pt>
                <c:pt idx="6">
                  <c:v>422.07809643010341</c:v>
                </c:pt>
                <c:pt idx="7">
                  <c:v>387.39479999999998</c:v>
                </c:pt>
                <c:pt idx="8">
                  <c:v>186.1133247973641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D-44B1-8ED1-45AA2723D8B7}"/>
            </c:ext>
          </c:extLst>
        </c:ser>
        <c:ser>
          <c:idx val="3"/>
          <c:order val="2"/>
          <c:tx>
            <c:strRef>
              <c:f>'Solidification (dataset 3)'!$B$15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'Solidification (dataset 3)'!$C$17:$C$18</c:f>
              <c:numCache>
                <c:formatCode>General</c:formatCode>
                <c:ptCount val="2"/>
                <c:pt idx="0">
                  <c:v>122.67510675490732</c:v>
                </c:pt>
                <c:pt idx="1">
                  <c:v>572.4838315229008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BD-44B1-8ED1-45AA2723D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3)'!$O$55:$O$75</c:f>
              <c:numCache>
                <c:formatCode>General</c:formatCode>
                <c:ptCount val="21"/>
                <c:pt idx="0">
                  <c:v>552.97144175999995</c:v>
                </c:pt>
                <c:pt idx="1">
                  <c:v>177.19746032724149</c:v>
                </c:pt>
                <c:pt idx="2">
                  <c:v>353.55864367151293</c:v>
                </c:pt>
                <c:pt idx="3">
                  <c:v>404.99093146994846</c:v>
                </c:pt>
                <c:pt idx="4">
                  <c:v>256.57732728687955</c:v>
                </c:pt>
                <c:pt idx="5">
                  <c:v>521.36237802390292</c:v>
                </c:pt>
                <c:pt idx="6">
                  <c:v>251.89549266775174</c:v>
                </c:pt>
                <c:pt idx="7">
                  <c:v>403.6620200942827</c:v>
                </c:pt>
                <c:pt idx="8">
                  <c:v>369.31674307917132</c:v>
                </c:pt>
                <c:pt idx="9">
                  <c:v>261.17692526275397</c:v>
                </c:pt>
                <c:pt idx="10">
                  <c:v>184.20239999999984</c:v>
                </c:pt>
                <c:pt idx="11">
                  <c:v>417.0263999999998</c:v>
                </c:pt>
                <c:pt idx="12">
                  <c:v>236.18810812499981</c:v>
                </c:pt>
                <c:pt idx="13">
                  <c:v>292.58543252599304</c:v>
                </c:pt>
                <c:pt idx="14">
                  <c:v>369.31674307917132</c:v>
                </c:pt>
                <c:pt idx="15">
                  <c:v>169.83240000000001</c:v>
                </c:pt>
                <c:pt idx="16">
                  <c:v>517.33538910520599</c:v>
                </c:pt>
                <c:pt idx="17">
                  <c:v>309.82490270263128</c:v>
                </c:pt>
                <c:pt idx="18">
                  <c:v>178.55986063999981</c:v>
                </c:pt>
                <c:pt idx="19">
                  <c:v>531.35713106848095</c:v>
                </c:pt>
                <c:pt idx="20">
                  <c:v>205.62869365733505</c:v>
                </c:pt>
              </c:numCache>
            </c:numRef>
          </c:xVal>
          <c:yVal>
            <c:numRef>
              <c:f>'Solidification (dataset 3)'!$P$55:$P$75</c:f>
              <c:numCache>
                <c:formatCode>General</c:formatCode>
                <c:ptCount val="21"/>
                <c:pt idx="0">
                  <c:v>499.90571481049801</c:v>
                </c:pt>
                <c:pt idx="1">
                  <c:v>188.82831139679357</c:v>
                </c:pt>
                <c:pt idx="2">
                  <c:v>334.06885071497851</c:v>
                </c:pt>
                <c:pt idx="3">
                  <c:v>413.68870419796076</c:v>
                </c:pt>
                <c:pt idx="4">
                  <c:v>251.18408075930225</c:v>
                </c:pt>
                <c:pt idx="5">
                  <c:v>535.4834554585658</c:v>
                </c:pt>
                <c:pt idx="6">
                  <c:v>253.82693984625061</c:v>
                </c:pt>
                <c:pt idx="7">
                  <c:v>433.00853042662595</c:v>
                </c:pt>
                <c:pt idx="8">
                  <c:v>363.74495781543078</c:v>
                </c:pt>
                <c:pt idx="9">
                  <c:v>245.15904800496668</c:v>
                </c:pt>
                <c:pt idx="10">
                  <c:v>183.80411245089414</c:v>
                </c:pt>
                <c:pt idx="11">
                  <c:v>404.74197971648181</c:v>
                </c:pt>
                <c:pt idx="12">
                  <c:v>232.95044521719223</c:v>
                </c:pt>
                <c:pt idx="13">
                  <c:v>301.52829415970865</c:v>
                </c:pt>
                <c:pt idx="14">
                  <c:v>363.74495781543078</c:v>
                </c:pt>
                <c:pt idx="15">
                  <c:v>142.59754409190418</c:v>
                </c:pt>
                <c:pt idx="16">
                  <c:v>558.9759857001153</c:v>
                </c:pt>
                <c:pt idx="17">
                  <c:v>326.56949332586498</c:v>
                </c:pt>
                <c:pt idx="18">
                  <c:v>157.92870824582877</c:v>
                </c:pt>
                <c:pt idx="19">
                  <c:v>514.26081317793046</c:v>
                </c:pt>
                <c:pt idx="20">
                  <c:v>231.97884336685667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F-4F90-80D0-BEA941D8C41C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3)'!$O$78:$O$89</c:f>
              <c:numCache>
                <c:formatCode>General</c:formatCode>
                <c:ptCount val="12"/>
                <c:pt idx="0">
                  <c:v>559.05236689916728</c:v>
                </c:pt>
                <c:pt idx="1">
                  <c:v>270.25498746086953</c:v>
                </c:pt>
                <c:pt idx="2">
                  <c:v>527.0688230324987</c:v>
                </c:pt>
                <c:pt idx="3">
                  <c:v>233.47361453749977</c:v>
                </c:pt>
                <c:pt idx="4">
                  <c:v>360.78210000000007</c:v>
                </c:pt>
                <c:pt idx="5">
                  <c:v>412.39364114077745</c:v>
                </c:pt>
                <c:pt idx="6">
                  <c:v>422.07809643010341</c:v>
                </c:pt>
                <c:pt idx="7">
                  <c:v>387.39479999999998</c:v>
                </c:pt>
                <c:pt idx="8">
                  <c:v>186.1133247973641</c:v>
                </c:pt>
              </c:numCache>
            </c:numRef>
          </c:xVal>
          <c:yVal>
            <c:numRef>
              <c:f>'Solidification (dataset 3)'!$P$78:$P$89</c:f>
              <c:numCache>
                <c:formatCode>General</c:formatCode>
                <c:ptCount val="12"/>
                <c:pt idx="0">
                  <c:v>513.88087770966524</c:v>
                </c:pt>
                <c:pt idx="1">
                  <c:v>289.48917597405597</c:v>
                </c:pt>
                <c:pt idx="2">
                  <c:v>481.81522289236869</c:v>
                </c:pt>
                <c:pt idx="3">
                  <c:v>240.78382919662366</c:v>
                </c:pt>
                <c:pt idx="4">
                  <c:v>353.37791251818533</c:v>
                </c:pt>
                <c:pt idx="5">
                  <c:v>387.40843042587653</c:v>
                </c:pt>
                <c:pt idx="6">
                  <c:v>411.70379202480007</c:v>
                </c:pt>
                <c:pt idx="7">
                  <c:v>390.22951458736219</c:v>
                </c:pt>
                <c:pt idx="8">
                  <c:v>203.13062782491716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F-4F90-80D0-BEA941D8C41C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8BF-4F90-80D0-BEA941D8C41C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BF-4F90-80D0-BEA941D8C41C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BF-4F90-80D0-BEA941D8C41C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BF-4F90-80D0-BEA941D8C41C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BF-4F90-80D0-BEA941D8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2.0458434608216072E-2"/>
          <c:w val="0.78216419753086419"/>
          <c:h val="0.8248184135880301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3)'!$F$55:$F$75</c:f>
              <c:numCache>
                <c:formatCode>General</c:formatCode>
                <c:ptCount val="21"/>
                <c:pt idx="0">
                  <c:v>24.450227664</c:v>
                </c:pt>
                <c:pt idx="1">
                  <c:v>9.2355319538814236</c:v>
                </c:pt>
                <c:pt idx="2">
                  <c:v>16.33920000000073</c:v>
                </c:pt>
                <c:pt idx="3">
                  <c:v>20.233381415732683</c:v>
                </c:pt>
                <c:pt idx="4">
                  <c:v>12.285332570093937</c:v>
                </c:pt>
                <c:pt idx="5">
                  <c:v>26.190323511765527</c:v>
                </c:pt>
                <c:pt idx="6">
                  <c:v>12.414593957682301</c:v>
                </c:pt>
                <c:pt idx="7">
                  <c:v>21.178307900317577</c:v>
                </c:pt>
                <c:pt idx="8">
                  <c:v>17.790648849835058</c:v>
                </c:pt>
                <c:pt idx="9">
                  <c:v>11.990650156666428</c:v>
                </c:pt>
                <c:pt idx="10">
                  <c:v>8.9898000000008071</c:v>
                </c:pt>
                <c:pt idx="11">
                  <c:v>19.795800000000789</c:v>
                </c:pt>
                <c:pt idx="12">
                  <c:v>11.393531322500698</c:v>
                </c:pt>
                <c:pt idx="13">
                  <c:v>14.747651848983457</c:v>
                </c:pt>
                <c:pt idx="14">
                  <c:v>17.790648849835058</c:v>
                </c:pt>
                <c:pt idx="15">
                  <c:v>6.9743999999999957</c:v>
                </c:pt>
                <c:pt idx="16">
                  <c:v>27.339335607030389</c:v>
                </c:pt>
                <c:pt idx="17">
                  <c:v>15.972408843058197</c:v>
                </c:pt>
                <c:pt idx="18">
                  <c:v>7.7242423058830347</c:v>
                </c:pt>
                <c:pt idx="19">
                  <c:v>25.152330906320181</c:v>
                </c:pt>
                <c:pt idx="20">
                  <c:v>11.346010588618963</c:v>
                </c:pt>
              </c:numCache>
            </c:numRef>
          </c:xVal>
          <c:yVal>
            <c:numRef>
              <c:f>'Solidification (dataset 3)'!$G$55:$G$75</c:f>
              <c:numCache>
                <c:formatCode>General</c:formatCode>
                <c:ptCount val="21"/>
                <c:pt idx="0">
                  <c:v>552.97144175999995</c:v>
                </c:pt>
                <c:pt idx="1">
                  <c:v>177.19746032724149</c:v>
                </c:pt>
                <c:pt idx="2">
                  <c:v>353.55864367151293</c:v>
                </c:pt>
                <c:pt idx="3">
                  <c:v>404.99093146994846</c:v>
                </c:pt>
                <c:pt idx="4">
                  <c:v>256.57732728687955</c:v>
                </c:pt>
                <c:pt idx="5">
                  <c:v>521.36237802390292</c:v>
                </c:pt>
                <c:pt idx="6">
                  <c:v>251.89549266775174</c:v>
                </c:pt>
                <c:pt idx="7">
                  <c:v>403.6620200942827</c:v>
                </c:pt>
                <c:pt idx="8">
                  <c:v>369.31674307917132</c:v>
                </c:pt>
                <c:pt idx="9">
                  <c:v>261.17692526275397</c:v>
                </c:pt>
                <c:pt idx="10">
                  <c:v>184.20239999999984</c:v>
                </c:pt>
                <c:pt idx="11">
                  <c:v>417.0263999999998</c:v>
                </c:pt>
                <c:pt idx="12">
                  <c:v>236.18810812499981</c:v>
                </c:pt>
                <c:pt idx="13">
                  <c:v>292.58543252599304</c:v>
                </c:pt>
                <c:pt idx="14">
                  <c:v>369.31674307917132</c:v>
                </c:pt>
                <c:pt idx="15">
                  <c:v>169.83240000000001</c:v>
                </c:pt>
                <c:pt idx="16">
                  <c:v>517.33538910520599</c:v>
                </c:pt>
                <c:pt idx="17">
                  <c:v>309.82490270263128</c:v>
                </c:pt>
                <c:pt idx="18">
                  <c:v>178.55986063999981</c:v>
                </c:pt>
                <c:pt idx="19">
                  <c:v>531.35713106848095</c:v>
                </c:pt>
                <c:pt idx="20">
                  <c:v>205.62869365733505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7D-438D-A84C-9A06C3B0E8EF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3)'!$F$78:$F$89</c:f>
              <c:numCache>
                <c:formatCode>General</c:formatCode>
                <c:ptCount val="12"/>
                <c:pt idx="0">
                  <c:v>25.133748384813632</c:v>
                </c:pt>
                <c:pt idx="1">
                  <c:v>14.158822452174912</c:v>
                </c:pt>
                <c:pt idx="2">
                  <c:v>23.56542752499842</c:v>
                </c:pt>
                <c:pt idx="3">
                  <c:v>11.776659612500808</c:v>
                </c:pt>
                <c:pt idx="4">
                  <c:v>17.283599999999968</c:v>
                </c:pt>
                <c:pt idx="5">
                  <c:v>18.948021681361002</c:v>
                </c:pt>
                <c:pt idx="6">
                  <c:v>20.136299999999675</c:v>
                </c:pt>
                <c:pt idx="7">
                  <c:v>19.086000000000098</c:v>
                </c:pt>
                <c:pt idx="8">
                  <c:v>9.9350536485328842</c:v>
                </c:pt>
              </c:numCache>
            </c:numRef>
          </c:xVal>
          <c:yVal>
            <c:numRef>
              <c:f>'Solidification (dataset 3)'!$G$78:$G$89</c:f>
              <c:numCache>
                <c:formatCode>General</c:formatCode>
                <c:ptCount val="12"/>
                <c:pt idx="0">
                  <c:v>559.05236689916728</c:v>
                </c:pt>
                <c:pt idx="1">
                  <c:v>270.25498746086953</c:v>
                </c:pt>
                <c:pt idx="2">
                  <c:v>527.0688230324987</c:v>
                </c:pt>
                <c:pt idx="3">
                  <c:v>233.47361453749977</c:v>
                </c:pt>
                <c:pt idx="4">
                  <c:v>360.78210000000007</c:v>
                </c:pt>
                <c:pt idx="5">
                  <c:v>412.39364114077745</c:v>
                </c:pt>
                <c:pt idx="6">
                  <c:v>422.07809643010341</c:v>
                </c:pt>
                <c:pt idx="7">
                  <c:v>387.39479999999998</c:v>
                </c:pt>
                <c:pt idx="8">
                  <c:v>186.1133247973641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7D-438D-A84C-9A06C3B0E8EF}"/>
            </c:ext>
          </c:extLst>
        </c:ser>
        <c:ser>
          <c:idx val="3"/>
          <c:order val="2"/>
          <c:tx>
            <c:strRef>
              <c:f>'Solidification (dataset 3)'!$B$15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'Solidification (dataset 3)'!$C$17:$C$18</c:f>
              <c:numCache>
                <c:formatCode>General</c:formatCode>
                <c:ptCount val="2"/>
                <c:pt idx="0">
                  <c:v>122.67510675490732</c:v>
                </c:pt>
                <c:pt idx="1">
                  <c:v>572.4838315229008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7D-438D-A84C-9A06C3B0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  <c:majorUnit val="100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64835389924771"/>
          <c:y val="0.65478913511946724"/>
          <c:w val="0.3776727412667279"/>
          <c:h val="0.17177908787498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3)'!$O$55:$O$75</c:f>
              <c:numCache>
                <c:formatCode>General</c:formatCode>
                <c:ptCount val="21"/>
                <c:pt idx="0">
                  <c:v>552.97144175999995</c:v>
                </c:pt>
                <c:pt idx="1">
                  <c:v>177.19746032724149</c:v>
                </c:pt>
                <c:pt idx="2">
                  <c:v>353.55864367151293</c:v>
                </c:pt>
                <c:pt idx="3">
                  <c:v>404.99093146994846</c:v>
                </c:pt>
                <c:pt idx="4">
                  <c:v>256.57732728687955</c:v>
                </c:pt>
                <c:pt idx="5">
                  <c:v>521.36237802390292</c:v>
                </c:pt>
                <c:pt idx="6">
                  <c:v>251.89549266775174</c:v>
                </c:pt>
                <c:pt idx="7">
                  <c:v>403.6620200942827</c:v>
                </c:pt>
                <c:pt idx="8">
                  <c:v>369.31674307917132</c:v>
                </c:pt>
                <c:pt idx="9">
                  <c:v>261.17692526275397</c:v>
                </c:pt>
                <c:pt idx="10">
                  <c:v>184.20239999999984</c:v>
                </c:pt>
                <c:pt idx="11">
                  <c:v>417.0263999999998</c:v>
                </c:pt>
                <c:pt idx="12">
                  <c:v>236.18810812499981</c:v>
                </c:pt>
                <c:pt idx="13">
                  <c:v>292.58543252599304</c:v>
                </c:pt>
                <c:pt idx="14">
                  <c:v>369.31674307917132</c:v>
                </c:pt>
                <c:pt idx="15">
                  <c:v>169.83240000000001</c:v>
                </c:pt>
                <c:pt idx="16">
                  <c:v>517.33538910520599</c:v>
                </c:pt>
                <c:pt idx="17">
                  <c:v>309.82490270263128</c:v>
                </c:pt>
                <c:pt idx="18">
                  <c:v>178.55986063999981</c:v>
                </c:pt>
                <c:pt idx="19">
                  <c:v>531.35713106848095</c:v>
                </c:pt>
                <c:pt idx="20">
                  <c:v>205.62869365733505</c:v>
                </c:pt>
              </c:numCache>
            </c:numRef>
          </c:xVal>
          <c:yVal>
            <c:numRef>
              <c:f>'Solidification (dataset 3)'!$P$55:$P$75</c:f>
              <c:numCache>
                <c:formatCode>General</c:formatCode>
                <c:ptCount val="21"/>
                <c:pt idx="0">
                  <c:v>499.90571481049801</c:v>
                </c:pt>
                <c:pt idx="1">
                  <c:v>188.82831139679357</c:v>
                </c:pt>
                <c:pt idx="2">
                  <c:v>334.06885071497851</c:v>
                </c:pt>
                <c:pt idx="3">
                  <c:v>413.68870419796076</c:v>
                </c:pt>
                <c:pt idx="4">
                  <c:v>251.18408075930225</c:v>
                </c:pt>
                <c:pt idx="5">
                  <c:v>535.4834554585658</c:v>
                </c:pt>
                <c:pt idx="6">
                  <c:v>253.82693984625061</c:v>
                </c:pt>
                <c:pt idx="7">
                  <c:v>433.00853042662595</c:v>
                </c:pt>
                <c:pt idx="8">
                  <c:v>363.74495781543078</c:v>
                </c:pt>
                <c:pt idx="9">
                  <c:v>245.15904800496668</c:v>
                </c:pt>
                <c:pt idx="10">
                  <c:v>183.80411245089414</c:v>
                </c:pt>
                <c:pt idx="11">
                  <c:v>404.74197971648181</c:v>
                </c:pt>
                <c:pt idx="12">
                  <c:v>232.95044521719223</c:v>
                </c:pt>
                <c:pt idx="13">
                  <c:v>301.52829415970865</c:v>
                </c:pt>
                <c:pt idx="14">
                  <c:v>363.74495781543078</c:v>
                </c:pt>
                <c:pt idx="15">
                  <c:v>142.59754409190418</c:v>
                </c:pt>
                <c:pt idx="16">
                  <c:v>558.9759857001153</c:v>
                </c:pt>
                <c:pt idx="17">
                  <c:v>326.56949332586498</c:v>
                </c:pt>
                <c:pt idx="18">
                  <c:v>157.92870824582877</c:v>
                </c:pt>
                <c:pt idx="19">
                  <c:v>514.26081317793046</c:v>
                </c:pt>
                <c:pt idx="20">
                  <c:v>231.97884336685667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1-4A8E-BCE6-2E40321021EB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'Solidification (dataset 3)'!$O$78:$O$89</c:f>
              <c:numCache>
                <c:formatCode>General</c:formatCode>
                <c:ptCount val="12"/>
                <c:pt idx="0">
                  <c:v>559.05236689916728</c:v>
                </c:pt>
                <c:pt idx="1">
                  <c:v>270.25498746086953</c:v>
                </c:pt>
                <c:pt idx="2">
                  <c:v>527.0688230324987</c:v>
                </c:pt>
                <c:pt idx="3">
                  <c:v>233.47361453749977</c:v>
                </c:pt>
                <c:pt idx="4">
                  <c:v>360.78210000000007</c:v>
                </c:pt>
                <c:pt idx="5">
                  <c:v>412.39364114077745</c:v>
                </c:pt>
                <c:pt idx="6">
                  <c:v>422.07809643010341</c:v>
                </c:pt>
                <c:pt idx="7">
                  <c:v>387.39479999999998</c:v>
                </c:pt>
                <c:pt idx="8">
                  <c:v>186.1133247973641</c:v>
                </c:pt>
              </c:numCache>
            </c:numRef>
          </c:xVal>
          <c:yVal>
            <c:numRef>
              <c:f>'Solidification (dataset 3)'!$P$78:$P$89</c:f>
              <c:numCache>
                <c:formatCode>General</c:formatCode>
                <c:ptCount val="12"/>
                <c:pt idx="0">
                  <c:v>513.88087770966524</c:v>
                </c:pt>
                <c:pt idx="1">
                  <c:v>289.48917597405597</c:v>
                </c:pt>
                <c:pt idx="2">
                  <c:v>481.81522289236869</c:v>
                </c:pt>
                <c:pt idx="3">
                  <c:v>240.78382919662366</c:v>
                </c:pt>
                <c:pt idx="4">
                  <c:v>353.37791251818533</c:v>
                </c:pt>
                <c:pt idx="5">
                  <c:v>387.40843042587653</c:v>
                </c:pt>
                <c:pt idx="6">
                  <c:v>411.70379202480007</c:v>
                </c:pt>
                <c:pt idx="7">
                  <c:v>390.22951458736219</c:v>
                </c:pt>
                <c:pt idx="8">
                  <c:v>203.13062782491716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1-4A8E-BCE6-2E40321021EB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D71-4A8E-BCE6-2E40321021EB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71-4A8E-BCE6-2E40321021EB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71-4A8E-BCE6-2E40321021EB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1-4A8E-BCE6-2E40321021EB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'Solidification (dataset 3)'!$O$17:$O$18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'Solidification (dataset 3)'!$R$17:$R$18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71-4A8E-BCE6-2E403210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9066242290758497"/>
          <c:y val="0.63707660302128344"/>
          <c:w val="0.35220679518073789"/>
          <c:h val="0.1984097179371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4)'!$F$55:$F$75</c:f>
              <c:numCache>
                <c:formatCode>General</c:formatCode>
                <c:ptCount val="21"/>
                <c:pt idx="0">
                  <c:v>22.836000000008426</c:v>
                </c:pt>
                <c:pt idx="1">
                  <c:v>22.421999999999997</c:v>
                </c:pt>
                <c:pt idx="2">
                  <c:v>11.275199999993378</c:v>
                </c:pt>
                <c:pt idx="3">
                  <c:v>27.071048094113475</c:v>
                </c:pt>
                <c:pt idx="4">
                  <c:v>8.0972999999946342</c:v>
                </c:pt>
                <c:pt idx="5">
                  <c:v>13.042056671598727</c:v>
                </c:pt>
                <c:pt idx="6">
                  <c:v>12.236660066643104</c:v>
                </c:pt>
                <c:pt idx="7">
                  <c:v>7.7994267951314544</c:v>
                </c:pt>
                <c:pt idx="8">
                  <c:v>12.778499999994182</c:v>
                </c:pt>
                <c:pt idx="9">
                  <c:v>11.275199999993378</c:v>
                </c:pt>
                <c:pt idx="10">
                  <c:v>17.970455508345797</c:v>
                </c:pt>
                <c:pt idx="11">
                  <c:v>22.284430163528512</c:v>
                </c:pt>
                <c:pt idx="12">
                  <c:v>12.827573007786603</c:v>
                </c:pt>
                <c:pt idx="13">
                  <c:v>13.394999999995163</c:v>
                </c:pt>
                <c:pt idx="14">
                  <c:v>14.619000000000636</c:v>
                </c:pt>
                <c:pt idx="15">
                  <c:v>11.370389065312704</c:v>
                </c:pt>
                <c:pt idx="16">
                  <c:v>6.9327748784655023</c:v>
                </c:pt>
                <c:pt idx="17">
                  <c:v>11.064381075029758</c:v>
                </c:pt>
                <c:pt idx="18">
                  <c:v>14.901658243472077</c:v>
                </c:pt>
                <c:pt idx="19">
                  <c:v>17.935800000001304</c:v>
                </c:pt>
                <c:pt idx="20">
                  <c:v>16.090530088193475</c:v>
                </c:pt>
              </c:numCache>
            </c:numRef>
          </c:xVal>
          <c:yVal>
            <c:numRef>
              <c:f>'Melting (dataset 4)'!$G$55:$G$75</c:f>
              <c:numCache>
                <c:formatCode>General</c:formatCode>
                <c:ptCount val="21"/>
                <c:pt idx="0">
                  <c:v>554.20560000000489</c:v>
                </c:pt>
                <c:pt idx="1">
                  <c:v>526.93979999999999</c:v>
                </c:pt>
                <c:pt idx="2">
                  <c:v>242.68199999999433</c:v>
                </c:pt>
                <c:pt idx="3">
                  <c:v>497.44749309176234</c:v>
                </c:pt>
                <c:pt idx="4">
                  <c:v>166.90619999999905</c:v>
                </c:pt>
                <c:pt idx="5">
                  <c:v>266.10625346834951</c:v>
                </c:pt>
                <c:pt idx="6">
                  <c:v>246.42412532412126</c:v>
                </c:pt>
                <c:pt idx="7">
                  <c:v>182.63889794765294</c:v>
                </c:pt>
                <c:pt idx="8">
                  <c:v>247.45169999999919</c:v>
                </c:pt>
                <c:pt idx="9">
                  <c:v>242.68199999999433</c:v>
                </c:pt>
                <c:pt idx="10">
                  <c:v>340.37905812139587</c:v>
                </c:pt>
                <c:pt idx="11">
                  <c:v>438.58518732334858</c:v>
                </c:pt>
                <c:pt idx="12">
                  <c:v>256.02550949111617</c:v>
                </c:pt>
                <c:pt idx="13">
                  <c:v>240.30809999999769</c:v>
                </c:pt>
                <c:pt idx="14">
                  <c:v>301.61215956541196</c:v>
                </c:pt>
                <c:pt idx="15">
                  <c:v>218.07088535308668</c:v>
                </c:pt>
                <c:pt idx="16">
                  <c:v>136.08228581679037</c:v>
                </c:pt>
                <c:pt idx="17">
                  <c:v>222.77243533078848</c:v>
                </c:pt>
                <c:pt idx="18">
                  <c:v>299.1960258608637</c:v>
                </c:pt>
                <c:pt idx="19">
                  <c:v>365.21590909090946</c:v>
                </c:pt>
                <c:pt idx="20">
                  <c:v>334.92233180419032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C-4E34-8FD6-0F680E9BC6FB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4)'!$F$78:$F$89</c:f>
              <c:numCache>
                <c:formatCode>General</c:formatCode>
                <c:ptCount val="12"/>
                <c:pt idx="0">
                  <c:v>10.128440696018268</c:v>
                </c:pt>
                <c:pt idx="1">
                  <c:v>22.067685978047887</c:v>
                </c:pt>
                <c:pt idx="2">
                  <c:v>7.872829771852226</c:v>
                </c:pt>
                <c:pt idx="3">
                  <c:v>11.550733538461678</c:v>
                </c:pt>
                <c:pt idx="4">
                  <c:v>7.7868000000008877</c:v>
                </c:pt>
                <c:pt idx="5">
                  <c:v>9.3620263278695397</c:v>
                </c:pt>
                <c:pt idx="6">
                  <c:v>26.999051764701608</c:v>
                </c:pt>
                <c:pt idx="7">
                  <c:v>6.6891725519443357</c:v>
                </c:pt>
                <c:pt idx="8">
                  <c:v>15.294906027162749</c:v>
                </c:pt>
              </c:numCache>
            </c:numRef>
          </c:xVal>
          <c:yVal>
            <c:numRef>
              <c:f>'Melting (dataset 4)'!$G$78:$G$89</c:f>
              <c:numCache>
                <c:formatCode>General</c:formatCode>
                <c:ptCount val="12"/>
                <c:pt idx="0">
                  <c:v>212.52860331422897</c:v>
                </c:pt>
                <c:pt idx="1">
                  <c:v>530.44121365596561</c:v>
                </c:pt>
                <c:pt idx="2">
                  <c:v>156.15565369073173</c:v>
                </c:pt>
                <c:pt idx="3">
                  <c:v>217.63550879854768</c:v>
                </c:pt>
                <c:pt idx="4">
                  <c:v>134.81040000000056</c:v>
                </c:pt>
                <c:pt idx="5">
                  <c:v>159.24805774971134</c:v>
                </c:pt>
                <c:pt idx="6">
                  <c:v>498.93304243764453</c:v>
                </c:pt>
                <c:pt idx="7">
                  <c:v>134.90327528622092</c:v>
                </c:pt>
                <c:pt idx="8">
                  <c:v>318.35937208508204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C-4E34-8FD6-0F680E9BC6FB}"/>
            </c:ext>
          </c:extLst>
        </c:ser>
        <c:ser>
          <c:idx val="3"/>
          <c:order val="2"/>
          <c:tx>
            <c:strRef>
              <c:f>'Melting (dataset 4)'!$B$15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'Melting (dataset 4)'!$C$17:$C$18</c:f>
              <c:numCache>
                <c:formatCode>General</c:formatCode>
                <c:ptCount val="2"/>
                <c:pt idx="0">
                  <c:v>123.42621594698682</c:v>
                </c:pt>
                <c:pt idx="1">
                  <c:v>575.98900775260506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C-4E34-8FD6-0F680E9B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4)'!$O$55:$O$75</c:f>
              <c:numCache>
                <c:formatCode>General</c:formatCode>
                <c:ptCount val="21"/>
                <c:pt idx="0">
                  <c:v>554.20560000000489</c:v>
                </c:pt>
                <c:pt idx="1">
                  <c:v>526.93979999999999</c:v>
                </c:pt>
                <c:pt idx="2">
                  <c:v>242.68199999999433</c:v>
                </c:pt>
                <c:pt idx="3">
                  <c:v>497.44749309176234</c:v>
                </c:pt>
                <c:pt idx="4">
                  <c:v>166.90619999999905</c:v>
                </c:pt>
                <c:pt idx="5">
                  <c:v>266.10625346834951</c:v>
                </c:pt>
                <c:pt idx="6">
                  <c:v>246.42412532412126</c:v>
                </c:pt>
                <c:pt idx="7">
                  <c:v>182.63889794765294</c:v>
                </c:pt>
                <c:pt idx="8">
                  <c:v>247.45169999999919</c:v>
                </c:pt>
                <c:pt idx="9">
                  <c:v>242.68199999999433</c:v>
                </c:pt>
                <c:pt idx="10">
                  <c:v>340.37905812139587</c:v>
                </c:pt>
                <c:pt idx="11">
                  <c:v>438.58518732334858</c:v>
                </c:pt>
                <c:pt idx="12">
                  <c:v>256.02550949111617</c:v>
                </c:pt>
                <c:pt idx="13">
                  <c:v>240.30809999999769</c:v>
                </c:pt>
                <c:pt idx="14">
                  <c:v>301.61215956541196</c:v>
                </c:pt>
                <c:pt idx="15">
                  <c:v>218.07088535308668</c:v>
                </c:pt>
                <c:pt idx="16">
                  <c:v>136.08228581679037</c:v>
                </c:pt>
                <c:pt idx="17">
                  <c:v>222.77243533078848</c:v>
                </c:pt>
                <c:pt idx="18">
                  <c:v>299.1960258608637</c:v>
                </c:pt>
                <c:pt idx="19">
                  <c:v>365.21590909090946</c:v>
                </c:pt>
                <c:pt idx="20">
                  <c:v>334.92233180419032</c:v>
                </c:pt>
              </c:numCache>
            </c:numRef>
          </c:xVal>
          <c:yVal>
            <c:numRef>
              <c:f>'Melting (dataset 4)'!$P$55:$P$75</c:f>
              <c:numCache>
                <c:formatCode>General</c:formatCode>
                <c:ptCount val="21"/>
                <c:pt idx="0">
                  <c:v>469.7601778944051</c:v>
                </c:pt>
                <c:pt idx="1">
                  <c:v>461.24376899388966</c:v>
                </c:pt>
                <c:pt idx="2">
                  <c:v>231.94254500744137</c:v>
                </c:pt>
                <c:pt idx="3">
                  <c:v>556.87950466255256</c:v>
                </c:pt>
                <c:pt idx="4">
                  <c:v>166.56984973114567</c:v>
                </c:pt>
                <c:pt idx="5">
                  <c:v>268.28861719026406</c:v>
                </c:pt>
                <c:pt idx="6">
                  <c:v>251.72077464256029</c:v>
                </c:pt>
                <c:pt idx="7">
                  <c:v>160.4422893131017</c:v>
                </c:pt>
                <c:pt idx="8">
                  <c:v>262.86698341297546</c:v>
                </c:pt>
                <c:pt idx="9">
                  <c:v>231.94254500744137</c:v>
                </c:pt>
                <c:pt idx="10">
                  <c:v>369.67088703980113</c:v>
                </c:pt>
                <c:pt idx="11">
                  <c:v>458.41381493653608</c:v>
                </c:pt>
                <c:pt idx="12">
                  <c:v>263.87646602246804</c:v>
                </c:pt>
                <c:pt idx="13">
                  <c:v>275.54902710154852</c:v>
                </c:pt>
                <c:pt idx="14">
                  <c:v>300.72797515484643</c:v>
                </c:pt>
                <c:pt idx="15">
                  <c:v>233.90068269609054</c:v>
                </c:pt>
                <c:pt idx="16">
                  <c:v>142.61436154355471</c:v>
                </c:pt>
                <c:pt idx="17">
                  <c:v>227.60578131439615</c:v>
                </c:pt>
                <c:pt idx="18">
                  <c:v>306.54254805449682</c:v>
                </c:pt>
                <c:pt idx="19">
                  <c:v>368.95798733035451</c:v>
                </c:pt>
                <c:pt idx="20">
                  <c:v>330.99887356114277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7D-437C-A421-8FD32FCC2840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4)'!$O$78:$O$89</c:f>
              <c:numCache>
                <c:formatCode>General</c:formatCode>
                <c:ptCount val="12"/>
                <c:pt idx="0">
                  <c:v>212.52860331422897</c:v>
                </c:pt>
                <c:pt idx="1">
                  <c:v>530.44121365596561</c:v>
                </c:pt>
                <c:pt idx="2">
                  <c:v>156.15565369073173</c:v>
                </c:pt>
                <c:pt idx="3">
                  <c:v>217.63550879854768</c:v>
                </c:pt>
                <c:pt idx="4">
                  <c:v>134.81040000000056</c:v>
                </c:pt>
                <c:pt idx="5">
                  <c:v>159.24805774971134</c:v>
                </c:pt>
                <c:pt idx="6">
                  <c:v>498.93304243764453</c:v>
                </c:pt>
                <c:pt idx="7">
                  <c:v>134.90327528622092</c:v>
                </c:pt>
                <c:pt idx="8">
                  <c:v>318.35937208508204</c:v>
                </c:pt>
              </c:numCache>
            </c:numRef>
          </c:xVal>
          <c:yVal>
            <c:numRef>
              <c:f>'Melting (dataset 4)'!$P$78:$P$89</c:f>
              <c:numCache>
                <c:formatCode>General</c:formatCode>
                <c:ptCount val="12"/>
                <c:pt idx="0">
                  <c:v>208.35251809216669</c:v>
                </c:pt>
                <c:pt idx="1">
                  <c:v>453.95516249613854</c:v>
                </c:pt>
                <c:pt idx="2">
                  <c:v>161.95226458908328</c:v>
                </c:pt>
                <c:pt idx="3">
                  <c:v>237.61055534404568</c:v>
                </c:pt>
                <c:pt idx="4">
                  <c:v>160.18254305601775</c:v>
                </c:pt>
                <c:pt idx="5">
                  <c:v>192.58658054083361</c:v>
                </c:pt>
                <c:pt idx="6">
                  <c:v>555.39846557898932</c:v>
                </c:pt>
                <c:pt idx="7">
                  <c:v>137.6032093171564</c:v>
                </c:pt>
                <c:pt idx="8">
                  <c:v>314.63206236624325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7D-437C-A421-8FD32FCC2840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07D-437C-A421-8FD32FCC2840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7D-437C-A421-8FD32FCC2840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7D-437C-A421-8FD32FCC2840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7D-437C-A421-8FD32FCC2840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7D-437C-A421-8FD32FCC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2.0458434608216072E-2"/>
          <c:w val="0.78216419753086419"/>
          <c:h val="0.8248184135880301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4)'!$F$55:$F$75</c:f>
              <c:numCache>
                <c:formatCode>General</c:formatCode>
                <c:ptCount val="21"/>
                <c:pt idx="0">
                  <c:v>22.836000000008426</c:v>
                </c:pt>
                <c:pt idx="1">
                  <c:v>22.421999999999997</c:v>
                </c:pt>
                <c:pt idx="2">
                  <c:v>11.275199999993378</c:v>
                </c:pt>
                <c:pt idx="3">
                  <c:v>27.071048094113475</c:v>
                </c:pt>
                <c:pt idx="4">
                  <c:v>8.0972999999946342</c:v>
                </c:pt>
                <c:pt idx="5">
                  <c:v>13.042056671598727</c:v>
                </c:pt>
                <c:pt idx="6">
                  <c:v>12.236660066643104</c:v>
                </c:pt>
                <c:pt idx="7">
                  <c:v>7.7994267951314544</c:v>
                </c:pt>
                <c:pt idx="8">
                  <c:v>12.778499999994182</c:v>
                </c:pt>
                <c:pt idx="9">
                  <c:v>11.275199999993378</c:v>
                </c:pt>
                <c:pt idx="10">
                  <c:v>17.970455508345797</c:v>
                </c:pt>
                <c:pt idx="11">
                  <c:v>22.284430163528512</c:v>
                </c:pt>
                <c:pt idx="12">
                  <c:v>12.827573007786603</c:v>
                </c:pt>
                <c:pt idx="13">
                  <c:v>13.394999999995163</c:v>
                </c:pt>
                <c:pt idx="14">
                  <c:v>14.619000000000636</c:v>
                </c:pt>
                <c:pt idx="15">
                  <c:v>11.370389065312704</c:v>
                </c:pt>
                <c:pt idx="16">
                  <c:v>6.9327748784655023</c:v>
                </c:pt>
                <c:pt idx="17">
                  <c:v>11.064381075029758</c:v>
                </c:pt>
                <c:pt idx="18">
                  <c:v>14.901658243472077</c:v>
                </c:pt>
                <c:pt idx="19">
                  <c:v>17.935800000001304</c:v>
                </c:pt>
                <c:pt idx="20">
                  <c:v>16.090530088193475</c:v>
                </c:pt>
              </c:numCache>
            </c:numRef>
          </c:xVal>
          <c:yVal>
            <c:numRef>
              <c:f>'Melting (dataset 4)'!$G$55:$G$75</c:f>
              <c:numCache>
                <c:formatCode>General</c:formatCode>
                <c:ptCount val="21"/>
                <c:pt idx="0">
                  <c:v>554.20560000000489</c:v>
                </c:pt>
                <c:pt idx="1">
                  <c:v>526.93979999999999</c:v>
                </c:pt>
                <c:pt idx="2">
                  <c:v>242.68199999999433</c:v>
                </c:pt>
                <c:pt idx="3">
                  <c:v>497.44749309176234</c:v>
                </c:pt>
                <c:pt idx="4">
                  <c:v>166.90619999999905</c:v>
                </c:pt>
                <c:pt idx="5">
                  <c:v>266.10625346834951</c:v>
                </c:pt>
                <c:pt idx="6">
                  <c:v>246.42412532412126</c:v>
                </c:pt>
                <c:pt idx="7">
                  <c:v>182.63889794765294</c:v>
                </c:pt>
                <c:pt idx="8">
                  <c:v>247.45169999999919</c:v>
                </c:pt>
                <c:pt idx="9">
                  <c:v>242.68199999999433</c:v>
                </c:pt>
                <c:pt idx="10">
                  <c:v>340.37905812139587</c:v>
                </c:pt>
                <c:pt idx="11">
                  <c:v>438.58518732334858</c:v>
                </c:pt>
                <c:pt idx="12">
                  <c:v>256.02550949111617</c:v>
                </c:pt>
                <c:pt idx="13">
                  <c:v>240.30809999999769</c:v>
                </c:pt>
                <c:pt idx="14">
                  <c:v>301.61215956541196</c:v>
                </c:pt>
                <c:pt idx="15">
                  <c:v>218.07088535308668</c:v>
                </c:pt>
                <c:pt idx="16">
                  <c:v>136.08228581679037</c:v>
                </c:pt>
                <c:pt idx="17">
                  <c:v>222.77243533078848</c:v>
                </c:pt>
                <c:pt idx="18">
                  <c:v>299.1960258608637</c:v>
                </c:pt>
                <c:pt idx="19">
                  <c:v>365.21590909090946</c:v>
                </c:pt>
                <c:pt idx="20">
                  <c:v>334.92233180419032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26-455F-B0F5-A5D4D5F1221A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4)'!$F$78:$F$89</c:f>
              <c:numCache>
                <c:formatCode>General</c:formatCode>
                <c:ptCount val="12"/>
                <c:pt idx="0">
                  <c:v>10.128440696018268</c:v>
                </c:pt>
                <c:pt idx="1">
                  <c:v>22.067685978047887</c:v>
                </c:pt>
                <c:pt idx="2">
                  <c:v>7.872829771852226</c:v>
                </c:pt>
                <c:pt idx="3">
                  <c:v>11.550733538461678</c:v>
                </c:pt>
                <c:pt idx="4">
                  <c:v>7.7868000000008877</c:v>
                </c:pt>
                <c:pt idx="5">
                  <c:v>9.3620263278695397</c:v>
                </c:pt>
                <c:pt idx="6">
                  <c:v>26.999051764701608</c:v>
                </c:pt>
                <c:pt idx="7">
                  <c:v>6.6891725519443357</c:v>
                </c:pt>
                <c:pt idx="8">
                  <c:v>15.294906027162749</c:v>
                </c:pt>
              </c:numCache>
            </c:numRef>
          </c:xVal>
          <c:yVal>
            <c:numRef>
              <c:f>'Melting (dataset 4)'!$G$78:$G$89</c:f>
              <c:numCache>
                <c:formatCode>General</c:formatCode>
                <c:ptCount val="12"/>
                <c:pt idx="0">
                  <c:v>212.52860331422897</c:v>
                </c:pt>
                <c:pt idx="1">
                  <c:v>530.44121365596561</c:v>
                </c:pt>
                <c:pt idx="2">
                  <c:v>156.15565369073173</c:v>
                </c:pt>
                <c:pt idx="3">
                  <c:v>217.63550879854768</c:v>
                </c:pt>
                <c:pt idx="4">
                  <c:v>134.81040000000056</c:v>
                </c:pt>
                <c:pt idx="5">
                  <c:v>159.24805774971134</c:v>
                </c:pt>
                <c:pt idx="6">
                  <c:v>498.93304243764453</c:v>
                </c:pt>
                <c:pt idx="7">
                  <c:v>134.90327528622092</c:v>
                </c:pt>
                <c:pt idx="8">
                  <c:v>318.35937208508204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26-455F-B0F5-A5D4D5F1221A}"/>
            </c:ext>
          </c:extLst>
        </c:ser>
        <c:ser>
          <c:idx val="3"/>
          <c:order val="2"/>
          <c:tx>
            <c:strRef>
              <c:f>'Melting (dataset 4)'!$B$15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'Melting (dataset 4)'!$C$17:$C$18</c:f>
              <c:numCache>
                <c:formatCode>General</c:formatCode>
                <c:ptCount val="2"/>
                <c:pt idx="0">
                  <c:v>123.42621594698682</c:v>
                </c:pt>
                <c:pt idx="1">
                  <c:v>575.98900775260506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26-455F-B0F5-A5D4D5F1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  <c:majorUnit val="100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64835389924771"/>
          <c:y val="0.65478913511946724"/>
          <c:w val="0.3776727412667279"/>
          <c:h val="0.17177908787498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4)'!$O$55:$O$75</c:f>
              <c:numCache>
                <c:formatCode>General</c:formatCode>
                <c:ptCount val="21"/>
                <c:pt idx="0">
                  <c:v>554.20560000000489</c:v>
                </c:pt>
                <c:pt idx="1">
                  <c:v>526.93979999999999</c:v>
                </c:pt>
                <c:pt idx="2">
                  <c:v>242.68199999999433</c:v>
                </c:pt>
                <c:pt idx="3">
                  <c:v>497.44749309176234</c:v>
                </c:pt>
                <c:pt idx="4">
                  <c:v>166.90619999999905</c:v>
                </c:pt>
                <c:pt idx="5">
                  <c:v>266.10625346834951</c:v>
                </c:pt>
                <c:pt idx="6">
                  <c:v>246.42412532412126</c:v>
                </c:pt>
                <c:pt idx="7">
                  <c:v>182.63889794765294</c:v>
                </c:pt>
                <c:pt idx="8">
                  <c:v>247.45169999999919</c:v>
                </c:pt>
                <c:pt idx="9">
                  <c:v>242.68199999999433</c:v>
                </c:pt>
                <c:pt idx="10">
                  <c:v>340.37905812139587</c:v>
                </c:pt>
                <c:pt idx="11">
                  <c:v>438.58518732334858</c:v>
                </c:pt>
                <c:pt idx="12">
                  <c:v>256.02550949111617</c:v>
                </c:pt>
                <c:pt idx="13">
                  <c:v>240.30809999999769</c:v>
                </c:pt>
                <c:pt idx="14">
                  <c:v>301.61215956541196</c:v>
                </c:pt>
                <c:pt idx="15">
                  <c:v>218.07088535308668</c:v>
                </c:pt>
                <c:pt idx="16">
                  <c:v>136.08228581679037</c:v>
                </c:pt>
                <c:pt idx="17">
                  <c:v>222.77243533078848</c:v>
                </c:pt>
                <c:pt idx="18">
                  <c:v>299.1960258608637</c:v>
                </c:pt>
                <c:pt idx="19">
                  <c:v>365.21590909090946</c:v>
                </c:pt>
                <c:pt idx="20">
                  <c:v>334.92233180419032</c:v>
                </c:pt>
              </c:numCache>
            </c:numRef>
          </c:xVal>
          <c:yVal>
            <c:numRef>
              <c:f>'Melting (dataset 4)'!$P$55:$P$75</c:f>
              <c:numCache>
                <c:formatCode>General</c:formatCode>
                <c:ptCount val="21"/>
                <c:pt idx="0">
                  <c:v>469.7601778944051</c:v>
                </c:pt>
                <c:pt idx="1">
                  <c:v>461.24376899388966</c:v>
                </c:pt>
                <c:pt idx="2">
                  <c:v>231.94254500744137</c:v>
                </c:pt>
                <c:pt idx="3">
                  <c:v>556.87950466255256</c:v>
                </c:pt>
                <c:pt idx="4">
                  <c:v>166.56984973114567</c:v>
                </c:pt>
                <c:pt idx="5">
                  <c:v>268.28861719026406</c:v>
                </c:pt>
                <c:pt idx="6">
                  <c:v>251.72077464256029</c:v>
                </c:pt>
                <c:pt idx="7">
                  <c:v>160.4422893131017</c:v>
                </c:pt>
                <c:pt idx="8">
                  <c:v>262.86698341297546</c:v>
                </c:pt>
                <c:pt idx="9">
                  <c:v>231.94254500744137</c:v>
                </c:pt>
                <c:pt idx="10">
                  <c:v>369.67088703980113</c:v>
                </c:pt>
                <c:pt idx="11">
                  <c:v>458.41381493653608</c:v>
                </c:pt>
                <c:pt idx="12">
                  <c:v>263.87646602246804</c:v>
                </c:pt>
                <c:pt idx="13">
                  <c:v>275.54902710154852</c:v>
                </c:pt>
                <c:pt idx="14">
                  <c:v>300.72797515484643</c:v>
                </c:pt>
                <c:pt idx="15">
                  <c:v>233.90068269609054</c:v>
                </c:pt>
                <c:pt idx="16">
                  <c:v>142.61436154355471</c:v>
                </c:pt>
                <c:pt idx="17">
                  <c:v>227.60578131439615</c:v>
                </c:pt>
                <c:pt idx="18">
                  <c:v>306.54254805449682</c:v>
                </c:pt>
                <c:pt idx="19">
                  <c:v>368.95798733035451</c:v>
                </c:pt>
                <c:pt idx="20">
                  <c:v>330.99887356114277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A-4ADD-A321-61426A52670E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'Melting (dataset 4)'!$O$78:$O$89</c:f>
              <c:numCache>
                <c:formatCode>General</c:formatCode>
                <c:ptCount val="12"/>
                <c:pt idx="0">
                  <c:v>212.52860331422897</c:v>
                </c:pt>
                <c:pt idx="1">
                  <c:v>530.44121365596561</c:v>
                </c:pt>
                <c:pt idx="2">
                  <c:v>156.15565369073173</c:v>
                </c:pt>
                <c:pt idx="3">
                  <c:v>217.63550879854768</c:v>
                </c:pt>
                <c:pt idx="4">
                  <c:v>134.81040000000056</c:v>
                </c:pt>
                <c:pt idx="5">
                  <c:v>159.24805774971134</c:v>
                </c:pt>
                <c:pt idx="6">
                  <c:v>498.93304243764453</c:v>
                </c:pt>
                <c:pt idx="7">
                  <c:v>134.90327528622092</c:v>
                </c:pt>
                <c:pt idx="8">
                  <c:v>318.35937208508204</c:v>
                </c:pt>
              </c:numCache>
            </c:numRef>
          </c:xVal>
          <c:yVal>
            <c:numRef>
              <c:f>'Melting (dataset 4)'!$P$78:$P$89</c:f>
              <c:numCache>
                <c:formatCode>General</c:formatCode>
                <c:ptCount val="12"/>
                <c:pt idx="0">
                  <c:v>208.35251809216669</c:v>
                </c:pt>
                <c:pt idx="1">
                  <c:v>453.95516249613854</c:v>
                </c:pt>
                <c:pt idx="2">
                  <c:v>161.95226458908328</c:v>
                </c:pt>
                <c:pt idx="3">
                  <c:v>237.61055534404568</c:v>
                </c:pt>
                <c:pt idx="4">
                  <c:v>160.18254305601775</c:v>
                </c:pt>
                <c:pt idx="5">
                  <c:v>192.58658054083361</c:v>
                </c:pt>
                <c:pt idx="6">
                  <c:v>555.39846557898932</c:v>
                </c:pt>
                <c:pt idx="7">
                  <c:v>137.6032093171564</c:v>
                </c:pt>
                <c:pt idx="8">
                  <c:v>314.63206236624325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A-4ADD-A321-61426A52670E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D1A-4ADD-A321-61426A52670E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1A-4ADD-A321-61426A52670E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A-4ADD-A321-61426A52670E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A-4ADD-A321-61426A52670E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'Melting (dataset 4)'!$O$17:$O$18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'Melting (dataset 4)'!$R$17:$R$18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A-4ADD-A321-61426A526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9066242290758497"/>
          <c:y val="0.63707660302128344"/>
          <c:w val="0.35220679518073789"/>
          <c:h val="0.1984097179371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5)'!$F$55:$F$75</c:f>
              <c:numCache>
                <c:formatCode>General</c:formatCode>
                <c:ptCount val="21"/>
                <c:pt idx="0">
                  <c:v>25.152330906320181</c:v>
                </c:pt>
                <c:pt idx="1">
                  <c:v>9.3620263278695397</c:v>
                </c:pt>
                <c:pt idx="2">
                  <c:v>9.2355319538814236</c:v>
                </c:pt>
                <c:pt idx="3">
                  <c:v>26.999051764701608</c:v>
                </c:pt>
                <c:pt idx="4">
                  <c:v>17.790648849835058</c:v>
                </c:pt>
                <c:pt idx="5">
                  <c:v>27.339335607030389</c:v>
                </c:pt>
                <c:pt idx="6">
                  <c:v>11.990650156666428</c:v>
                </c:pt>
                <c:pt idx="7">
                  <c:v>6.9743999999999957</c:v>
                </c:pt>
                <c:pt idx="8">
                  <c:v>7.7994267951314544</c:v>
                </c:pt>
                <c:pt idx="9">
                  <c:v>14.619000000000636</c:v>
                </c:pt>
                <c:pt idx="10">
                  <c:v>12.285332570093937</c:v>
                </c:pt>
                <c:pt idx="11">
                  <c:v>13.042056671598727</c:v>
                </c:pt>
                <c:pt idx="12">
                  <c:v>11.346010588618963</c:v>
                </c:pt>
                <c:pt idx="13">
                  <c:v>21.178307900317577</c:v>
                </c:pt>
                <c:pt idx="14">
                  <c:v>20.136299999999675</c:v>
                </c:pt>
                <c:pt idx="15">
                  <c:v>17.970455508345797</c:v>
                </c:pt>
                <c:pt idx="16">
                  <c:v>26.190323511765527</c:v>
                </c:pt>
                <c:pt idx="17">
                  <c:v>11.370389065312704</c:v>
                </c:pt>
                <c:pt idx="18">
                  <c:v>7.872829771852226</c:v>
                </c:pt>
                <c:pt idx="19">
                  <c:v>17.283599999999968</c:v>
                </c:pt>
                <c:pt idx="20">
                  <c:v>11.550733538461678</c:v>
                </c:pt>
              </c:numCache>
            </c:numRef>
          </c:xVal>
          <c:yVal>
            <c:numRef>
              <c:f>'1 ºCh (dataset 5)'!$G$55:$G$75</c:f>
              <c:numCache>
                <c:formatCode>General</c:formatCode>
                <c:ptCount val="21"/>
                <c:pt idx="0">
                  <c:v>531.35713106848095</c:v>
                </c:pt>
                <c:pt idx="1">
                  <c:v>159.24805774971134</c:v>
                </c:pt>
                <c:pt idx="2">
                  <c:v>177.19746032724149</c:v>
                </c:pt>
                <c:pt idx="3">
                  <c:v>498.93304243764453</c:v>
                </c:pt>
                <c:pt idx="4">
                  <c:v>369.31674307917132</c:v>
                </c:pt>
                <c:pt idx="5">
                  <c:v>517.33538910520599</c:v>
                </c:pt>
                <c:pt idx="6">
                  <c:v>261.17692526275397</c:v>
                </c:pt>
                <c:pt idx="7">
                  <c:v>169.83240000000001</c:v>
                </c:pt>
                <c:pt idx="8">
                  <c:v>182.63889794765294</c:v>
                </c:pt>
                <c:pt idx="9">
                  <c:v>301.61215956541196</c:v>
                </c:pt>
                <c:pt idx="10">
                  <c:v>256.57732728687955</c:v>
                </c:pt>
                <c:pt idx="11">
                  <c:v>266.10625346834951</c:v>
                </c:pt>
                <c:pt idx="12">
                  <c:v>205.62869365733505</c:v>
                </c:pt>
                <c:pt idx="13">
                  <c:v>403.6620200942827</c:v>
                </c:pt>
                <c:pt idx="14">
                  <c:v>422.07809643010341</c:v>
                </c:pt>
                <c:pt idx="15">
                  <c:v>340.37905812139587</c:v>
                </c:pt>
                <c:pt idx="16">
                  <c:v>521.36237802390292</c:v>
                </c:pt>
                <c:pt idx="17">
                  <c:v>218.07088535308668</c:v>
                </c:pt>
                <c:pt idx="18">
                  <c:v>156.15565369073173</c:v>
                </c:pt>
                <c:pt idx="19">
                  <c:v>360.78210000000007</c:v>
                </c:pt>
                <c:pt idx="20">
                  <c:v>217.63550879854768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9-4ECC-8EC4-E1DE8F3487DE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5)'!$F$78:$F$89</c:f>
              <c:numCache>
                <c:formatCode>General</c:formatCode>
                <c:ptCount val="12"/>
                <c:pt idx="0">
                  <c:v>12.414593957682301</c:v>
                </c:pt>
                <c:pt idx="1">
                  <c:v>17.935800000001304</c:v>
                </c:pt>
                <c:pt idx="2">
                  <c:v>20.233381415732683</c:v>
                </c:pt>
                <c:pt idx="3">
                  <c:v>19.086000000000098</c:v>
                </c:pt>
                <c:pt idx="4">
                  <c:v>11.064381075029758</c:v>
                </c:pt>
                <c:pt idx="5">
                  <c:v>22.284430163528512</c:v>
                </c:pt>
                <c:pt idx="6">
                  <c:v>27.071048094113475</c:v>
                </c:pt>
                <c:pt idx="7">
                  <c:v>11.275199999993378</c:v>
                </c:pt>
                <c:pt idx="8">
                  <c:v>7.7868000000008877</c:v>
                </c:pt>
              </c:numCache>
            </c:numRef>
          </c:xVal>
          <c:yVal>
            <c:numRef>
              <c:f>'1 ºCh (dataset 5)'!$G$78:$G$89</c:f>
              <c:numCache>
                <c:formatCode>General</c:formatCode>
                <c:ptCount val="12"/>
                <c:pt idx="0">
                  <c:v>251.89549266775174</c:v>
                </c:pt>
                <c:pt idx="1">
                  <c:v>365.21590909090946</c:v>
                </c:pt>
                <c:pt idx="2">
                  <c:v>404.99093146994846</c:v>
                </c:pt>
                <c:pt idx="3">
                  <c:v>387.39479999999998</c:v>
                </c:pt>
                <c:pt idx="4">
                  <c:v>222.77243533078848</c:v>
                </c:pt>
                <c:pt idx="5">
                  <c:v>438.58518732334858</c:v>
                </c:pt>
                <c:pt idx="6">
                  <c:v>497.44749309176234</c:v>
                </c:pt>
                <c:pt idx="7">
                  <c:v>242.68199999999433</c:v>
                </c:pt>
                <c:pt idx="8">
                  <c:v>134.81040000000056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9-4ECC-8EC4-E1DE8F3487DE}"/>
            </c:ext>
          </c:extLst>
        </c:ser>
        <c:ser>
          <c:idx val="3"/>
          <c:order val="2"/>
          <c:tx>
            <c:strRef>
              <c:f>'1 ºCh (dataset 5)'!$B$15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'1 ºCh (dataset 5)'!$C$17:$C$18</c:f>
              <c:numCache>
                <c:formatCode>General</c:formatCode>
                <c:ptCount val="2"/>
                <c:pt idx="0">
                  <c:v>119.03129527824369</c:v>
                </c:pt>
                <c:pt idx="1">
                  <c:v>555.47937796513725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F9-4ECC-8EC4-E1DE8F348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5)'!$O$55:$O$75</c:f>
              <c:numCache>
                <c:formatCode>General</c:formatCode>
                <c:ptCount val="21"/>
                <c:pt idx="0">
                  <c:v>531.35713106848095</c:v>
                </c:pt>
                <c:pt idx="1">
                  <c:v>159.24805774971134</c:v>
                </c:pt>
                <c:pt idx="2">
                  <c:v>177.19746032724149</c:v>
                </c:pt>
                <c:pt idx="3">
                  <c:v>498.93304243764453</c:v>
                </c:pt>
                <c:pt idx="4">
                  <c:v>369.31674307917132</c:v>
                </c:pt>
                <c:pt idx="5">
                  <c:v>517.33538910520599</c:v>
                </c:pt>
                <c:pt idx="6">
                  <c:v>261.17692526275397</c:v>
                </c:pt>
                <c:pt idx="7">
                  <c:v>169.83240000000001</c:v>
                </c:pt>
                <c:pt idx="8">
                  <c:v>182.63889794765294</c:v>
                </c:pt>
                <c:pt idx="9">
                  <c:v>301.61215956541196</c:v>
                </c:pt>
                <c:pt idx="10">
                  <c:v>256.57732728687955</c:v>
                </c:pt>
                <c:pt idx="11">
                  <c:v>266.10625346834951</c:v>
                </c:pt>
                <c:pt idx="12">
                  <c:v>205.62869365733505</c:v>
                </c:pt>
                <c:pt idx="13">
                  <c:v>403.6620200942827</c:v>
                </c:pt>
                <c:pt idx="14">
                  <c:v>422.07809643010341</c:v>
                </c:pt>
                <c:pt idx="15">
                  <c:v>340.37905812139587</c:v>
                </c:pt>
                <c:pt idx="16">
                  <c:v>521.36237802390292</c:v>
                </c:pt>
                <c:pt idx="17">
                  <c:v>218.07088535308668</c:v>
                </c:pt>
                <c:pt idx="18">
                  <c:v>156.15565369073173</c:v>
                </c:pt>
                <c:pt idx="19">
                  <c:v>360.78210000000007</c:v>
                </c:pt>
                <c:pt idx="20">
                  <c:v>217.63550879854768</c:v>
                </c:pt>
              </c:numCache>
            </c:numRef>
          </c:xVal>
          <c:yVal>
            <c:numRef>
              <c:f>'1 ºCh (dataset 5)'!$P$55:$P$75</c:f>
              <c:numCache>
                <c:formatCode>General</c:formatCode>
                <c:ptCount val="21"/>
                <c:pt idx="0">
                  <c:v>498.98575450771534</c:v>
                </c:pt>
                <c:pt idx="1">
                  <c:v>185.72902003922178</c:v>
                </c:pt>
                <c:pt idx="2">
                  <c:v>183.21955517568577</c:v>
                </c:pt>
                <c:pt idx="3">
                  <c:v>535.62201713946388</c:v>
                </c:pt>
                <c:pt idx="4">
                  <c:v>352.94066273937722</c:v>
                </c:pt>
                <c:pt idx="5">
                  <c:v>542.37275489190597</c:v>
                </c:pt>
                <c:pt idx="6">
                  <c:v>237.87710322938008</c:v>
                </c:pt>
                <c:pt idx="7">
                  <c:v>138.36197763143039</c:v>
                </c:pt>
                <c:pt idx="8">
                  <c:v>154.729312308723</c:v>
                </c:pt>
                <c:pt idx="9">
                  <c:v>290.01975094545338</c:v>
                </c:pt>
                <c:pt idx="10">
                  <c:v>243.72317479037932</c:v>
                </c:pt>
                <c:pt idx="11">
                  <c:v>258.73548311877602</c:v>
                </c:pt>
                <c:pt idx="12">
                  <c:v>225.08838943399721</c:v>
                </c:pt>
                <c:pt idx="13">
                  <c:v>420.14690352937708</c:v>
                </c:pt>
                <c:pt idx="14">
                  <c:v>399.47497851854331</c:v>
                </c:pt>
                <c:pt idx="15">
                  <c:v>356.50776598307488</c:v>
                </c:pt>
                <c:pt idx="16">
                  <c:v>519.57802189361507</c:v>
                </c:pt>
                <c:pt idx="17">
                  <c:v>225.57202304362497</c:v>
                </c:pt>
                <c:pt idx="18">
                  <c:v>156.1855208747817</c:v>
                </c:pt>
                <c:pt idx="19">
                  <c:v>342.88154917850812</c:v>
                </c:pt>
                <c:pt idx="20">
                  <c:v>229.14979574949075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6-40E4-9455-0EA308227AB4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5)'!$O$78:$O$89</c:f>
              <c:numCache>
                <c:formatCode>General</c:formatCode>
                <c:ptCount val="12"/>
                <c:pt idx="0">
                  <c:v>251.89549266775174</c:v>
                </c:pt>
                <c:pt idx="1">
                  <c:v>365.21590909090946</c:v>
                </c:pt>
                <c:pt idx="2">
                  <c:v>404.99093146994846</c:v>
                </c:pt>
                <c:pt idx="3">
                  <c:v>387.39479999999998</c:v>
                </c:pt>
                <c:pt idx="4">
                  <c:v>222.77243533078848</c:v>
                </c:pt>
                <c:pt idx="5">
                  <c:v>438.58518732334858</c:v>
                </c:pt>
                <c:pt idx="6">
                  <c:v>497.44749309176234</c:v>
                </c:pt>
                <c:pt idx="7">
                  <c:v>242.68199999999433</c:v>
                </c:pt>
                <c:pt idx="8">
                  <c:v>134.81040000000056</c:v>
                </c:pt>
              </c:numCache>
            </c:numRef>
          </c:xVal>
          <c:yVal>
            <c:numRef>
              <c:f>'1 ºCh (dataset 5)'!$P$78:$P$89</c:f>
              <c:numCache>
                <c:formatCode>General</c:formatCode>
                <c:ptCount val="12"/>
                <c:pt idx="0">
                  <c:v>246.28753318939698</c:v>
                </c:pt>
                <c:pt idx="1">
                  <c:v>355.82025097527975</c:v>
                </c:pt>
                <c:pt idx="2">
                  <c:v>401.40093296223421</c:v>
                </c:pt>
                <c:pt idx="3">
                  <c:v>378.6385502800951</c:v>
                </c:pt>
                <c:pt idx="4">
                  <c:v>219.50126846881307</c:v>
                </c:pt>
                <c:pt idx="5">
                  <c:v>442.09076448372713</c:v>
                </c:pt>
                <c:pt idx="6">
                  <c:v>537.05031986365952</c:v>
                </c:pt>
                <c:pt idx="7">
                  <c:v>223.68361008674415</c:v>
                </c:pt>
                <c:pt idx="8">
                  <c:v>154.47881501212228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6-40E4-9455-0EA308227AB4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BE6-40E4-9455-0EA308227AB4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6-40E4-9455-0EA308227AB4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6-40E4-9455-0EA308227AB4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6-40E4-9455-0EA308227AB4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6-40E4-9455-0EA308227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2.0458434608216072E-2"/>
          <c:w val="0.78216419753086419"/>
          <c:h val="0.8248184135880301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5)'!$F$55:$F$75</c:f>
              <c:numCache>
                <c:formatCode>General</c:formatCode>
                <c:ptCount val="21"/>
                <c:pt idx="0">
                  <c:v>25.152330906320181</c:v>
                </c:pt>
                <c:pt idx="1">
                  <c:v>9.3620263278695397</c:v>
                </c:pt>
                <c:pt idx="2">
                  <c:v>9.2355319538814236</c:v>
                </c:pt>
                <c:pt idx="3">
                  <c:v>26.999051764701608</c:v>
                </c:pt>
                <c:pt idx="4">
                  <c:v>17.790648849835058</c:v>
                </c:pt>
                <c:pt idx="5">
                  <c:v>27.339335607030389</c:v>
                </c:pt>
                <c:pt idx="6">
                  <c:v>11.990650156666428</c:v>
                </c:pt>
                <c:pt idx="7">
                  <c:v>6.9743999999999957</c:v>
                </c:pt>
                <c:pt idx="8">
                  <c:v>7.7994267951314544</c:v>
                </c:pt>
                <c:pt idx="9">
                  <c:v>14.619000000000636</c:v>
                </c:pt>
                <c:pt idx="10">
                  <c:v>12.285332570093937</c:v>
                </c:pt>
                <c:pt idx="11">
                  <c:v>13.042056671598727</c:v>
                </c:pt>
                <c:pt idx="12">
                  <c:v>11.346010588618963</c:v>
                </c:pt>
                <c:pt idx="13">
                  <c:v>21.178307900317577</c:v>
                </c:pt>
                <c:pt idx="14">
                  <c:v>20.136299999999675</c:v>
                </c:pt>
                <c:pt idx="15">
                  <c:v>17.970455508345797</c:v>
                </c:pt>
                <c:pt idx="16">
                  <c:v>26.190323511765527</c:v>
                </c:pt>
                <c:pt idx="17">
                  <c:v>11.370389065312704</c:v>
                </c:pt>
                <c:pt idx="18">
                  <c:v>7.872829771852226</c:v>
                </c:pt>
                <c:pt idx="19">
                  <c:v>17.283599999999968</c:v>
                </c:pt>
                <c:pt idx="20">
                  <c:v>11.550733538461678</c:v>
                </c:pt>
              </c:numCache>
            </c:numRef>
          </c:xVal>
          <c:yVal>
            <c:numRef>
              <c:f>'1 ºCh (dataset 5)'!$G$55:$G$75</c:f>
              <c:numCache>
                <c:formatCode>General</c:formatCode>
                <c:ptCount val="21"/>
                <c:pt idx="0">
                  <c:v>531.35713106848095</c:v>
                </c:pt>
                <c:pt idx="1">
                  <c:v>159.24805774971134</c:v>
                </c:pt>
                <c:pt idx="2">
                  <c:v>177.19746032724149</c:v>
                </c:pt>
                <c:pt idx="3">
                  <c:v>498.93304243764453</c:v>
                </c:pt>
                <c:pt idx="4">
                  <c:v>369.31674307917132</c:v>
                </c:pt>
                <c:pt idx="5">
                  <c:v>517.33538910520599</c:v>
                </c:pt>
                <c:pt idx="6">
                  <c:v>261.17692526275397</c:v>
                </c:pt>
                <c:pt idx="7">
                  <c:v>169.83240000000001</c:v>
                </c:pt>
                <c:pt idx="8">
                  <c:v>182.63889794765294</c:v>
                </c:pt>
                <c:pt idx="9">
                  <c:v>301.61215956541196</c:v>
                </c:pt>
                <c:pt idx="10">
                  <c:v>256.57732728687955</c:v>
                </c:pt>
                <c:pt idx="11">
                  <c:v>266.10625346834951</c:v>
                </c:pt>
                <c:pt idx="12">
                  <c:v>205.62869365733505</c:v>
                </c:pt>
                <c:pt idx="13">
                  <c:v>403.6620200942827</c:v>
                </c:pt>
                <c:pt idx="14">
                  <c:v>422.07809643010341</c:v>
                </c:pt>
                <c:pt idx="15">
                  <c:v>340.37905812139587</c:v>
                </c:pt>
                <c:pt idx="16">
                  <c:v>521.36237802390292</c:v>
                </c:pt>
                <c:pt idx="17">
                  <c:v>218.07088535308668</c:v>
                </c:pt>
                <c:pt idx="18">
                  <c:v>156.15565369073173</c:v>
                </c:pt>
                <c:pt idx="19">
                  <c:v>360.78210000000007</c:v>
                </c:pt>
                <c:pt idx="20">
                  <c:v>217.63550879854768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9-49E8-9D12-502EAF424DFF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5)'!$F$78:$F$89</c:f>
              <c:numCache>
                <c:formatCode>General</c:formatCode>
                <c:ptCount val="12"/>
                <c:pt idx="0">
                  <c:v>12.414593957682301</c:v>
                </c:pt>
                <c:pt idx="1">
                  <c:v>17.935800000001304</c:v>
                </c:pt>
                <c:pt idx="2">
                  <c:v>20.233381415732683</c:v>
                </c:pt>
                <c:pt idx="3">
                  <c:v>19.086000000000098</c:v>
                </c:pt>
                <c:pt idx="4">
                  <c:v>11.064381075029758</c:v>
                </c:pt>
                <c:pt idx="5">
                  <c:v>22.284430163528512</c:v>
                </c:pt>
                <c:pt idx="6">
                  <c:v>27.071048094113475</c:v>
                </c:pt>
                <c:pt idx="7">
                  <c:v>11.275199999993378</c:v>
                </c:pt>
                <c:pt idx="8">
                  <c:v>7.7868000000008877</c:v>
                </c:pt>
              </c:numCache>
            </c:numRef>
          </c:xVal>
          <c:yVal>
            <c:numRef>
              <c:f>'1 ºCh (dataset 5)'!$G$78:$G$89</c:f>
              <c:numCache>
                <c:formatCode>General</c:formatCode>
                <c:ptCount val="12"/>
                <c:pt idx="0">
                  <c:v>251.89549266775174</c:v>
                </c:pt>
                <c:pt idx="1">
                  <c:v>365.21590909090946</c:v>
                </c:pt>
                <c:pt idx="2">
                  <c:v>404.99093146994846</c:v>
                </c:pt>
                <c:pt idx="3">
                  <c:v>387.39479999999998</c:v>
                </c:pt>
                <c:pt idx="4">
                  <c:v>222.77243533078848</c:v>
                </c:pt>
                <c:pt idx="5">
                  <c:v>438.58518732334858</c:v>
                </c:pt>
                <c:pt idx="6">
                  <c:v>497.44749309176234</c:v>
                </c:pt>
                <c:pt idx="7">
                  <c:v>242.68199999999433</c:v>
                </c:pt>
                <c:pt idx="8">
                  <c:v>134.81040000000056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F9-49E8-9D12-502EAF424DFF}"/>
            </c:ext>
          </c:extLst>
        </c:ser>
        <c:ser>
          <c:idx val="3"/>
          <c:order val="2"/>
          <c:tx>
            <c:strRef>
              <c:f>'1 ºCh (dataset 5)'!$B$15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'1 ºCh (dataset 5)'!$C$17:$C$18</c:f>
              <c:numCache>
                <c:formatCode>General</c:formatCode>
                <c:ptCount val="2"/>
                <c:pt idx="0">
                  <c:v>119.03129527824369</c:v>
                </c:pt>
                <c:pt idx="1">
                  <c:v>555.47937796513725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F9-49E8-9D12-502EAF42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  <c:majorUnit val="100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64835389924771"/>
          <c:y val="0.65478913511946724"/>
          <c:w val="0.3776727412667279"/>
          <c:h val="0.17177908787498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5)'!$O$55:$O$75</c:f>
              <c:numCache>
                <c:formatCode>General</c:formatCode>
                <c:ptCount val="21"/>
                <c:pt idx="0">
                  <c:v>531.35713106848095</c:v>
                </c:pt>
                <c:pt idx="1">
                  <c:v>159.24805774971134</c:v>
                </c:pt>
                <c:pt idx="2">
                  <c:v>177.19746032724149</c:v>
                </c:pt>
                <c:pt idx="3">
                  <c:v>498.93304243764453</c:v>
                </c:pt>
                <c:pt idx="4">
                  <c:v>369.31674307917132</c:v>
                </c:pt>
                <c:pt idx="5">
                  <c:v>517.33538910520599</c:v>
                </c:pt>
                <c:pt idx="6">
                  <c:v>261.17692526275397</c:v>
                </c:pt>
                <c:pt idx="7">
                  <c:v>169.83240000000001</c:v>
                </c:pt>
                <c:pt idx="8">
                  <c:v>182.63889794765294</c:v>
                </c:pt>
                <c:pt idx="9">
                  <c:v>301.61215956541196</c:v>
                </c:pt>
                <c:pt idx="10">
                  <c:v>256.57732728687955</c:v>
                </c:pt>
                <c:pt idx="11">
                  <c:v>266.10625346834951</c:v>
                </c:pt>
                <c:pt idx="12">
                  <c:v>205.62869365733505</c:v>
                </c:pt>
                <c:pt idx="13">
                  <c:v>403.6620200942827</c:v>
                </c:pt>
                <c:pt idx="14">
                  <c:v>422.07809643010341</c:v>
                </c:pt>
                <c:pt idx="15">
                  <c:v>340.37905812139587</c:v>
                </c:pt>
                <c:pt idx="16">
                  <c:v>521.36237802390292</c:v>
                </c:pt>
                <c:pt idx="17">
                  <c:v>218.07088535308668</c:v>
                </c:pt>
                <c:pt idx="18">
                  <c:v>156.15565369073173</c:v>
                </c:pt>
                <c:pt idx="19">
                  <c:v>360.78210000000007</c:v>
                </c:pt>
                <c:pt idx="20">
                  <c:v>217.63550879854768</c:v>
                </c:pt>
              </c:numCache>
            </c:numRef>
          </c:xVal>
          <c:yVal>
            <c:numRef>
              <c:f>'1 ºCh (dataset 5)'!$P$55:$P$75</c:f>
              <c:numCache>
                <c:formatCode>General</c:formatCode>
                <c:ptCount val="21"/>
                <c:pt idx="0">
                  <c:v>498.98575450771534</c:v>
                </c:pt>
                <c:pt idx="1">
                  <c:v>185.72902003922178</c:v>
                </c:pt>
                <c:pt idx="2">
                  <c:v>183.21955517568577</c:v>
                </c:pt>
                <c:pt idx="3">
                  <c:v>535.62201713946388</c:v>
                </c:pt>
                <c:pt idx="4">
                  <c:v>352.94066273937722</c:v>
                </c:pt>
                <c:pt idx="5">
                  <c:v>542.37275489190597</c:v>
                </c:pt>
                <c:pt idx="6">
                  <c:v>237.87710322938008</c:v>
                </c:pt>
                <c:pt idx="7">
                  <c:v>138.36197763143039</c:v>
                </c:pt>
                <c:pt idx="8">
                  <c:v>154.729312308723</c:v>
                </c:pt>
                <c:pt idx="9">
                  <c:v>290.01975094545338</c:v>
                </c:pt>
                <c:pt idx="10">
                  <c:v>243.72317479037932</c:v>
                </c:pt>
                <c:pt idx="11">
                  <c:v>258.73548311877602</c:v>
                </c:pt>
                <c:pt idx="12">
                  <c:v>225.08838943399721</c:v>
                </c:pt>
                <c:pt idx="13">
                  <c:v>420.14690352937708</c:v>
                </c:pt>
                <c:pt idx="14">
                  <c:v>399.47497851854331</c:v>
                </c:pt>
                <c:pt idx="15">
                  <c:v>356.50776598307488</c:v>
                </c:pt>
                <c:pt idx="16">
                  <c:v>519.57802189361507</c:v>
                </c:pt>
                <c:pt idx="17">
                  <c:v>225.57202304362497</c:v>
                </c:pt>
                <c:pt idx="18">
                  <c:v>156.1855208747817</c:v>
                </c:pt>
                <c:pt idx="19">
                  <c:v>342.88154917850812</c:v>
                </c:pt>
                <c:pt idx="20">
                  <c:v>229.14979574949075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34-4EF3-B945-8B259EB77CE7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'1 ºCh (dataset 5)'!$O$78:$O$89</c:f>
              <c:numCache>
                <c:formatCode>General</c:formatCode>
                <c:ptCount val="12"/>
                <c:pt idx="0">
                  <c:v>251.89549266775174</c:v>
                </c:pt>
                <c:pt idx="1">
                  <c:v>365.21590909090946</c:v>
                </c:pt>
                <c:pt idx="2">
                  <c:v>404.99093146994846</c:v>
                </c:pt>
                <c:pt idx="3">
                  <c:v>387.39479999999998</c:v>
                </c:pt>
                <c:pt idx="4">
                  <c:v>222.77243533078848</c:v>
                </c:pt>
                <c:pt idx="5">
                  <c:v>438.58518732334858</c:v>
                </c:pt>
                <c:pt idx="6">
                  <c:v>497.44749309176234</c:v>
                </c:pt>
                <c:pt idx="7">
                  <c:v>242.68199999999433</c:v>
                </c:pt>
                <c:pt idx="8">
                  <c:v>134.81040000000056</c:v>
                </c:pt>
              </c:numCache>
            </c:numRef>
          </c:xVal>
          <c:yVal>
            <c:numRef>
              <c:f>'1 ºCh (dataset 5)'!$P$78:$P$89</c:f>
              <c:numCache>
                <c:formatCode>General</c:formatCode>
                <c:ptCount val="12"/>
                <c:pt idx="0">
                  <c:v>246.28753318939698</c:v>
                </c:pt>
                <c:pt idx="1">
                  <c:v>355.82025097527975</c:v>
                </c:pt>
                <c:pt idx="2">
                  <c:v>401.40093296223421</c:v>
                </c:pt>
                <c:pt idx="3">
                  <c:v>378.6385502800951</c:v>
                </c:pt>
                <c:pt idx="4">
                  <c:v>219.50126846881307</c:v>
                </c:pt>
                <c:pt idx="5">
                  <c:v>442.09076448372713</c:v>
                </c:pt>
                <c:pt idx="6">
                  <c:v>537.05031986365952</c:v>
                </c:pt>
                <c:pt idx="7">
                  <c:v>223.68361008674415</c:v>
                </c:pt>
                <c:pt idx="8">
                  <c:v>154.47881501212228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34-4EF3-B945-8B259EB77CE7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B34-4EF3-B945-8B259EB77CE7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34-4EF3-B945-8B259EB77CE7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34-4EF3-B945-8B259EB77CE7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34-4EF3-B945-8B259EB77CE7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'1 ºCh (dataset 5)'!$O$17:$O$18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'1 ºCh (dataset 5)'!$R$17:$R$18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34-4EF3-B945-8B259EB7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9066242290758497"/>
          <c:y val="0.63707660302128344"/>
          <c:w val="0.35220679518073789"/>
          <c:h val="0.1984097179371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3.8068962613037487E-2"/>
          <c:w val="0.78216419753086419"/>
          <c:h val="0.81696303233419132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6)'!$F$55:$F$75</c:f>
              <c:numCache>
                <c:formatCode>General</c:formatCode>
                <c:ptCount val="21"/>
                <c:pt idx="0">
                  <c:v>23.56542752499842</c:v>
                </c:pt>
                <c:pt idx="1">
                  <c:v>25.133748384813632</c:v>
                </c:pt>
                <c:pt idx="2">
                  <c:v>16.090530088193475</c:v>
                </c:pt>
                <c:pt idx="3">
                  <c:v>10.128440696018268</c:v>
                </c:pt>
                <c:pt idx="4">
                  <c:v>8.9898000000008071</c:v>
                </c:pt>
                <c:pt idx="5">
                  <c:v>16.33920000000073</c:v>
                </c:pt>
                <c:pt idx="6">
                  <c:v>6.6891725519443357</c:v>
                </c:pt>
                <c:pt idx="7">
                  <c:v>15.972408843058197</c:v>
                </c:pt>
                <c:pt idx="8">
                  <c:v>9.9350536485328842</c:v>
                </c:pt>
                <c:pt idx="9">
                  <c:v>6.9327748784655023</c:v>
                </c:pt>
                <c:pt idx="10">
                  <c:v>12.827573007786603</c:v>
                </c:pt>
                <c:pt idx="11">
                  <c:v>11.393531322500698</c:v>
                </c:pt>
                <c:pt idx="12">
                  <c:v>14.158822452174912</c:v>
                </c:pt>
                <c:pt idx="13">
                  <c:v>19.795800000000789</c:v>
                </c:pt>
                <c:pt idx="14">
                  <c:v>14.901658243472077</c:v>
                </c:pt>
                <c:pt idx="15">
                  <c:v>12.236660066643104</c:v>
                </c:pt>
                <c:pt idx="16">
                  <c:v>11.776659612500808</c:v>
                </c:pt>
                <c:pt idx="17">
                  <c:v>18.948021681361002</c:v>
                </c:pt>
                <c:pt idx="18">
                  <c:v>14.747651848983457</c:v>
                </c:pt>
                <c:pt idx="19">
                  <c:v>12.778499999994182</c:v>
                </c:pt>
                <c:pt idx="20">
                  <c:v>11.275199999993378</c:v>
                </c:pt>
              </c:numCache>
            </c:numRef>
          </c:xVal>
          <c:yVal>
            <c:numRef>
              <c:f>'0.5 ºCh (dataset 6)'!$G$55:$G$75</c:f>
              <c:numCache>
                <c:formatCode>General</c:formatCode>
                <c:ptCount val="21"/>
                <c:pt idx="0">
                  <c:v>527.0688230324987</c:v>
                </c:pt>
                <c:pt idx="1">
                  <c:v>559.05236689916728</c:v>
                </c:pt>
                <c:pt idx="2">
                  <c:v>334.92233180419032</c:v>
                </c:pt>
                <c:pt idx="3">
                  <c:v>212.52860331422897</c:v>
                </c:pt>
                <c:pt idx="4">
                  <c:v>184.20239999999984</c:v>
                </c:pt>
                <c:pt idx="5">
                  <c:v>353.55864367151293</c:v>
                </c:pt>
                <c:pt idx="6">
                  <c:v>134.90327528622092</c:v>
                </c:pt>
                <c:pt idx="7">
                  <c:v>309.82490270263128</c:v>
                </c:pt>
                <c:pt idx="8">
                  <c:v>186.1133247973641</c:v>
                </c:pt>
                <c:pt idx="9">
                  <c:v>136.08228581679037</c:v>
                </c:pt>
                <c:pt idx="10">
                  <c:v>256.02550949111617</c:v>
                </c:pt>
                <c:pt idx="11">
                  <c:v>236.18810812499981</c:v>
                </c:pt>
                <c:pt idx="12">
                  <c:v>270.25498746086953</c:v>
                </c:pt>
                <c:pt idx="13">
                  <c:v>417.0263999999998</c:v>
                </c:pt>
                <c:pt idx="14">
                  <c:v>299.1960258608637</c:v>
                </c:pt>
                <c:pt idx="15">
                  <c:v>246.42412532412126</c:v>
                </c:pt>
                <c:pt idx="16">
                  <c:v>233.47361453749977</c:v>
                </c:pt>
                <c:pt idx="17">
                  <c:v>412.39364114077745</c:v>
                </c:pt>
                <c:pt idx="18">
                  <c:v>292.58543252599304</c:v>
                </c:pt>
                <c:pt idx="19">
                  <c:v>247.45169999999919</c:v>
                </c:pt>
                <c:pt idx="20">
                  <c:v>242.68199999999433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B-450B-A68E-F512BB61F42A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6)'!$F$78:$F$89</c:f>
              <c:numCache>
                <c:formatCode>General</c:formatCode>
                <c:ptCount val="12"/>
                <c:pt idx="0">
                  <c:v>22.067685978047887</c:v>
                </c:pt>
                <c:pt idx="1">
                  <c:v>22.836000000008426</c:v>
                </c:pt>
                <c:pt idx="2">
                  <c:v>8.0972999999946342</c:v>
                </c:pt>
                <c:pt idx="3">
                  <c:v>13.394999999995163</c:v>
                </c:pt>
                <c:pt idx="4">
                  <c:v>24.450227664</c:v>
                </c:pt>
                <c:pt idx="5">
                  <c:v>22.421999999999997</c:v>
                </c:pt>
                <c:pt idx="6">
                  <c:v>15.294906027162749</c:v>
                </c:pt>
                <c:pt idx="7">
                  <c:v>17.790648849835058</c:v>
                </c:pt>
                <c:pt idx="8">
                  <c:v>7.7242423058830347</c:v>
                </c:pt>
              </c:numCache>
            </c:numRef>
          </c:xVal>
          <c:yVal>
            <c:numRef>
              <c:f>'0.5 ºCh (dataset 6)'!$G$78:$G$89</c:f>
              <c:numCache>
                <c:formatCode>General</c:formatCode>
                <c:ptCount val="12"/>
                <c:pt idx="0">
                  <c:v>530.44121365596561</c:v>
                </c:pt>
                <c:pt idx="1">
                  <c:v>554.20560000000489</c:v>
                </c:pt>
                <c:pt idx="2">
                  <c:v>166.90619999999905</c:v>
                </c:pt>
                <c:pt idx="3">
                  <c:v>240.30809999999769</c:v>
                </c:pt>
                <c:pt idx="4">
                  <c:v>552.97144175999995</c:v>
                </c:pt>
                <c:pt idx="5">
                  <c:v>526.93979999999999</c:v>
                </c:pt>
                <c:pt idx="6">
                  <c:v>318.35937208508204</c:v>
                </c:pt>
                <c:pt idx="7">
                  <c:v>369.31674307917132</c:v>
                </c:pt>
                <c:pt idx="8">
                  <c:v>178.55986063999981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B-450B-A68E-F512BB61F42A}"/>
            </c:ext>
          </c:extLst>
        </c:ser>
        <c:ser>
          <c:idx val="3"/>
          <c:order val="2"/>
          <c:tx>
            <c:strRef>
              <c:f>'0.5 ºCh (dataset 6)'!$B$15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'0.5 ºCh (dataset 6)'!$C$17:$C$18</c:f>
              <c:numCache>
                <c:formatCode>General</c:formatCode>
                <c:ptCount val="2"/>
                <c:pt idx="0">
                  <c:v>125.5428663278049</c:v>
                </c:pt>
                <c:pt idx="1">
                  <c:v>585.86670952975624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7B-450B-A68E-F512BB61F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2543119089556178"/>
          <c:y val="0.59783951639239419"/>
          <c:w val="0.41312532044690992"/>
          <c:h val="0.24115780678159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6)'!$O$55:$O$75</c:f>
              <c:numCache>
                <c:formatCode>General</c:formatCode>
                <c:ptCount val="21"/>
                <c:pt idx="0">
                  <c:v>527.0688230324987</c:v>
                </c:pt>
                <c:pt idx="1">
                  <c:v>559.05236689916728</c:v>
                </c:pt>
                <c:pt idx="2">
                  <c:v>334.92233180419032</c:v>
                </c:pt>
                <c:pt idx="3">
                  <c:v>212.52860331422897</c:v>
                </c:pt>
                <c:pt idx="4">
                  <c:v>184.20239999999984</c:v>
                </c:pt>
                <c:pt idx="5">
                  <c:v>353.55864367151293</c:v>
                </c:pt>
                <c:pt idx="6">
                  <c:v>134.90327528622092</c:v>
                </c:pt>
                <c:pt idx="7">
                  <c:v>309.82490270263128</c:v>
                </c:pt>
                <c:pt idx="8">
                  <c:v>186.1133247973641</c:v>
                </c:pt>
                <c:pt idx="9">
                  <c:v>136.08228581679037</c:v>
                </c:pt>
                <c:pt idx="10">
                  <c:v>256.02550949111617</c:v>
                </c:pt>
                <c:pt idx="11">
                  <c:v>236.18810812499981</c:v>
                </c:pt>
                <c:pt idx="12">
                  <c:v>270.25498746086953</c:v>
                </c:pt>
                <c:pt idx="13">
                  <c:v>417.0263999999998</c:v>
                </c:pt>
                <c:pt idx="14">
                  <c:v>299.1960258608637</c:v>
                </c:pt>
                <c:pt idx="15">
                  <c:v>246.42412532412126</c:v>
                </c:pt>
                <c:pt idx="16">
                  <c:v>233.47361453749977</c:v>
                </c:pt>
                <c:pt idx="17">
                  <c:v>412.39364114077745</c:v>
                </c:pt>
                <c:pt idx="18">
                  <c:v>292.58543252599304</c:v>
                </c:pt>
                <c:pt idx="19">
                  <c:v>247.45169999999919</c:v>
                </c:pt>
                <c:pt idx="20">
                  <c:v>242.68199999999433</c:v>
                </c:pt>
              </c:numCache>
            </c:numRef>
          </c:xVal>
          <c:yVal>
            <c:numRef>
              <c:f>'0.5 ºCh (dataset 6)'!$P$55:$P$75</c:f>
              <c:numCache>
                <c:formatCode>General</c:formatCode>
                <c:ptCount val="21"/>
                <c:pt idx="0">
                  <c:v>493.07855295474184</c:v>
                </c:pt>
                <c:pt idx="1">
                  <c:v>525.89380229855669</c:v>
                </c:pt>
                <c:pt idx="2">
                  <c:v>336.67521133426607</c:v>
                </c:pt>
                <c:pt idx="3">
                  <c:v>211.92557940155345</c:v>
                </c:pt>
                <c:pt idx="4">
                  <c:v>188.10087661896696</c:v>
                </c:pt>
                <c:pt idx="5">
                  <c:v>341.87833358389361</c:v>
                </c:pt>
                <c:pt idx="6">
                  <c:v>139.96298258872821</c:v>
                </c:pt>
                <c:pt idx="7">
                  <c:v>334.20366471951735</c:v>
                </c:pt>
                <c:pt idx="8">
                  <c:v>207.87918535955572</c:v>
                </c:pt>
                <c:pt idx="9">
                  <c:v>145.0600716413264</c:v>
                </c:pt>
                <c:pt idx="10">
                  <c:v>268.40171390445192</c:v>
                </c:pt>
                <c:pt idx="11">
                  <c:v>238.39609663706054</c:v>
                </c:pt>
                <c:pt idx="12">
                  <c:v>296.25652574541959</c:v>
                </c:pt>
                <c:pt idx="13">
                  <c:v>414.20357887534323</c:v>
                </c:pt>
                <c:pt idx="14">
                  <c:v>311.79948148714118</c:v>
                </c:pt>
                <c:pt idx="15">
                  <c:v>256.03756317422722</c:v>
                </c:pt>
                <c:pt idx="16">
                  <c:v>246.41260058670792</c:v>
                </c:pt>
                <c:pt idx="17">
                  <c:v>396.46482551990891</c:v>
                </c:pt>
                <c:pt idx="18">
                  <c:v>308.5770807876558</c:v>
                </c:pt>
                <c:pt idx="19">
                  <c:v>267.37491956152076</c:v>
                </c:pt>
                <c:pt idx="20">
                  <c:v>235.92015440307242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8-40FE-8E0F-50B27F9DD393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6)'!$O$78:$O$89</c:f>
              <c:numCache>
                <c:formatCode>General</c:formatCode>
                <c:ptCount val="12"/>
                <c:pt idx="0">
                  <c:v>530.44121365596561</c:v>
                </c:pt>
                <c:pt idx="1">
                  <c:v>554.20560000000489</c:v>
                </c:pt>
                <c:pt idx="2">
                  <c:v>166.90619999999905</c:v>
                </c:pt>
                <c:pt idx="3">
                  <c:v>240.30809999999769</c:v>
                </c:pt>
                <c:pt idx="4">
                  <c:v>552.97144175999995</c:v>
                </c:pt>
                <c:pt idx="5">
                  <c:v>526.93979999999999</c:v>
                </c:pt>
                <c:pt idx="6">
                  <c:v>318.35937208508204</c:v>
                </c:pt>
                <c:pt idx="7">
                  <c:v>369.31674307917132</c:v>
                </c:pt>
                <c:pt idx="8">
                  <c:v>178.55986063999981</c:v>
                </c:pt>
              </c:numCache>
            </c:numRef>
          </c:xVal>
          <c:yVal>
            <c:numRef>
              <c:f>'0.5 ºCh (dataset 6)'!$P$78:$P$89</c:f>
              <c:numCache>
                <c:formatCode>General</c:formatCode>
                <c:ptCount val="12"/>
                <c:pt idx="0">
                  <c:v>461.74009181767343</c:v>
                </c:pt>
                <c:pt idx="1">
                  <c:v>477.81614924380176</c:v>
                </c:pt>
                <c:pt idx="2">
                  <c:v>169.42637525257683</c:v>
                </c:pt>
                <c:pt idx="3">
                  <c:v>280.27444907672322</c:v>
                </c:pt>
                <c:pt idx="4">
                  <c:v>511.59194388432491</c:v>
                </c:pt>
                <c:pt idx="5">
                  <c:v>469.15369146700687</c:v>
                </c:pt>
                <c:pt idx="6">
                  <c:v>320.02772381073845</c:v>
                </c:pt>
                <c:pt idx="7">
                  <c:v>372.24817507329311</c:v>
                </c:pt>
                <c:pt idx="8">
                  <c:v>161.62058654850821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E8-40FE-8E0F-50B27F9DD393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9E8-40FE-8E0F-50B27F9DD393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E8-40FE-8E0F-50B27F9DD393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E8-40FE-8E0F-50B27F9DD393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E8-40FE-8E0F-50B27F9DD393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E8-40FE-8E0F-50B27F9D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55656075788041"/>
          <c:y val="0.53428880271273893"/>
          <c:w val="0.42730363772309898"/>
          <c:h val="0.30119759986442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69907407407406"/>
          <c:y val="2.0458434608216072E-2"/>
          <c:w val="0.78216419753086419"/>
          <c:h val="0.8248184135880301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6)'!$F$55:$F$75</c:f>
              <c:numCache>
                <c:formatCode>General</c:formatCode>
                <c:ptCount val="21"/>
                <c:pt idx="0">
                  <c:v>23.56542752499842</c:v>
                </c:pt>
                <c:pt idx="1">
                  <c:v>25.133748384813632</c:v>
                </c:pt>
                <c:pt idx="2">
                  <c:v>16.090530088193475</c:v>
                </c:pt>
                <c:pt idx="3">
                  <c:v>10.128440696018268</c:v>
                </c:pt>
                <c:pt idx="4">
                  <c:v>8.9898000000008071</c:v>
                </c:pt>
                <c:pt idx="5">
                  <c:v>16.33920000000073</c:v>
                </c:pt>
                <c:pt idx="6">
                  <c:v>6.6891725519443357</c:v>
                </c:pt>
                <c:pt idx="7">
                  <c:v>15.972408843058197</c:v>
                </c:pt>
                <c:pt idx="8">
                  <c:v>9.9350536485328842</c:v>
                </c:pt>
                <c:pt idx="9">
                  <c:v>6.9327748784655023</c:v>
                </c:pt>
                <c:pt idx="10">
                  <c:v>12.827573007786603</c:v>
                </c:pt>
                <c:pt idx="11">
                  <c:v>11.393531322500698</c:v>
                </c:pt>
                <c:pt idx="12">
                  <c:v>14.158822452174912</c:v>
                </c:pt>
                <c:pt idx="13">
                  <c:v>19.795800000000789</c:v>
                </c:pt>
                <c:pt idx="14">
                  <c:v>14.901658243472077</c:v>
                </c:pt>
                <c:pt idx="15">
                  <c:v>12.236660066643104</c:v>
                </c:pt>
                <c:pt idx="16">
                  <c:v>11.776659612500808</c:v>
                </c:pt>
                <c:pt idx="17">
                  <c:v>18.948021681361002</c:v>
                </c:pt>
                <c:pt idx="18">
                  <c:v>14.747651848983457</c:v>
                </c:pt>
                <c:pt idx="19">
                  <c:v>12.778499999994182</c:v>
                </c:pt>
                <c:pt idx="20">
                  <c:v>11.275199999993378</c:v>
                </c:pt>
              </c:numCache>
            </c:numRef>
          </c:xVal>
          <c:yVal>
            <c:numRef>
              <c:f>'0.5 ºCh (dataset 6)'!$G$55:$G$75</c:f>
              <c:numCache>
                <c:formatCode>General</c:formatCode>
                <c:ptCount val="21"/>
                <c:pt idx="0">
                  <c:v>527.0688230324987</c:v>
                </c:pt>
                <c:pt idx="1">
                  <c:v>559.05236689916728</c:v>
                </c:pt>
                <c:pt idx="2">
                  <c:v>334.92233180419032</c:v>
                </c:pt>
                <c:pt idx="3">
                  <c:v>212.52860331422897</c:v>
                </c:pt>
                <c:pt idx="4">
                  <c:v>184.20239999999984</c:v>
                </c:pt>
                <c:pt idx="5">
                  <c:v>353.55864367151293</c:v>
                </c:pt>
                <c:pt idx="6">
                  <c:v>134.90327528622092</c:v>
                </c:pt>
                <c:pt idx="7">
                  <c:v>309.82490270263128</c:v>
                </c:pt>
                <c:pt idx="8">
                  <c:v>186.1133247973641</c:v>
                </c:pt>
                <c:pt idx="9">
                  <c:v>136.08228581679037</c:v>
                </c:pt>
                <c:pt idx="10">
                  <c:v>256.02550949111617</c:v>
                </c:pt>
                <c:pt idx="11">
                  <c:v>236.18810812499981</c:v>
                </c:pt>
                <c:pt idx="12">
                  <c:v>270.25498746086953</c:v>
                </c:pt>
                <c:pt idx="13">
                  <c:v>417.0263999999998</c:v>
                </c:pt>
                <c:pt idx="14">
                  <c:v>299.1960258608637</c:v>
                </c:pt>
                <c:pt idx="15">
                  <c:v>246.42412532412126</c:v>
                </c:pt>
                <c:pt idx="16">
                  <c:v>233.47361453749977</c:v>
                </c:pt>
                <c:pt idx="17">
                  <c:v>412.39364114077745</c:v>
                </c:pt>
                <c:pt idx="18">
                  <c:v>292.58543252599304</c:v>
                </c:pt>
                <c:pt idx="19">
                  <c:v>247.45169999999919</c:v>
                </c:pt>
                <c:pt idx="20">
                  <c:v>242.68199999999433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49-4B97-B4FE-5D134BFF9E2A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6)'!$F$78:$F$89</c:f>
              <c:numCache>
                <c:formatCode>General</c:formatCode>
                <c:ptCount val="12"/>
                <c:pt idx="0">
                  <c:v>22.067685978047887</c:v>
                </c:pt>
                <c:pt idx="1">
                  <c:v>22.836000000008426</c:v>
                </c:pt>
                <c:pt idx="2">
                  <c:v>8.0972999999946342</c:v>
                </c:pt>
                <c:pt idx="3">
                  <c:v>13.394999999995163</c:v>
                </c:pt>
                <c:pt idx="4">
                  <c:v>24.450227664</c:v>
                </c:pt>
                <c:pt idx="5">
                  <c:v>22.421999999999997</c:v>
                </c:pt>
                <c:pt idx="6">
                  <c:v>15.294906027162749</c:v>
                </c:pt>
                <c:pt idx="7">
                  <c:v>17.790648849835058</c:v>
                </c:pt>
                <c:pt idx="8">
                  <c:v>7.7242423058830347</c:v>
                </c:pt>
              </c:numCache>
            </c:numRef>
          </c:xVal>
          <c:yVal>
            <c:numRef>
              <c:f>'0.5 ºCh (dataset 6)'!$G$78:$G$89</c:f>
              <c:numCache>
                <c:formatCode>General</c:formatCode>
                <c:ptCount val="12"/>
                <c:pt idx="0">
                  <c:v>530.44121365596561</c:v>
                </c:pt>
                <c:pt idx="1">
                  <c:v>554.20560000000489</c:v>
                </c:pt>
                <c:pt idx="2">
                  <c:v>166.90619999999905</c:v>
                </c:pt>
                <c:pt idx="3">
                  <c:v>240.30809999999769</c:v>
                </c:pt>
                <c:pt idx="4">
                  <c:v>552.97144175999995</c:v>
                </c:pt>
                <c:pt idx="5">
                  <c:v>526.93979999999999</c:v>
                </c:pt>
                <c:pt idx="6">
                  <c:v>318.35937208508204</c:v>
                </c:pt>
                <c:pt idx="7">
                  <c:v>369.31674307917132</c:v>
                </c:pt>
                <c:pt idx="8">
                  <c:v>178.55986063999981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49-4B97-B4FE-5D134BFF9E2A}"/>
            </c:ext>
          </c:extLst>
        </c:ser>
        <c:ser>
          <c:idx val="3"/>
          <c:order val="2"/>
          <c:tx>
            <c:strRef>
              <c:f>'0.5 ºCh (dataset 6)'!$B$15</c:f>
              <c:strCache>
                <c:ptCount val="1"/>
                <c:pt idx="0">
                  <c:v>Regression line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6)'!$B$17:$B$18</c:f>
              <c:numCache>
                <c:formatCode>General</c:formatCode>
                <c:ptCount val="2"/>
                <c:pt idx="0">
                  <c:v>6</c:v>
                </c:pt>
                <c:pt idx="1">
                  <c:v>28</c:v>
                </c:pt>
              </c:numCache>
            </c:numRef>
          </c:xVal>
          <c:yVal>
            <c:numRef>
              <c:f>'0.5 ºCh (dataset 6)'!$C$17:$C$18</c:f>
              <c:numCache>
                <c:formatCode>General</c:formatCode>
                <c:ptCount val="2"/>
                <c:pt idx="0">
                  <c:v>125.5428663278049</c:v>
                </c:pt>
                <c:pt idx="1">
                  <c:v>585.86670952975624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49-4B97-B4FE-5D134BFF9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16688"/>
        <c:axId val="1367902768"/>
      </c:scatterChart>
      <c:valAx>
        <c:axId val="1367916688"/>
        <c:scaling>
          <c:orientation val="minMax"/>
          <c:max val="30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T</a:t>
                </a:r>
                <a:r>
                  <a:rPr lang="en-US"/>
                  <a:t> (K·s)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2768"/>
        <c:crosses val="autoZero"/>
        <c:crossBetween val="midCat"/>
      </c:valAx>
      <c:valAx>
        <c:axId val="1367902768"/>
        <c:scaling>
          <c:orientation val="minMax"/>
          <c:max val="600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× 10</a:t>
                </a:r>
                <a:r>
                  <a:rPr lang="en-US" baseline="30000"/>
                  <a:t>-3</a:t>
                </a:r>
              </a:p>
            </c:rich>
          </c:tx>
          <c:layout>
            <c:manualLayout>
              <c:xMode val="edge"/>
              <c:yMode val="edge"/>
              <c:x val="1.5743523819212589E-2"/>
              <c:y val="0.30688011845933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16688"/>
        <c:crosses val="autoZero"/>
        <c:crossBetween val="midCat"/>
        <c:majorUnit val="100"/>
      </c:valAx>
      <c:spPr>
        <a:noFill/>
        <a:ln w="9525">
          <a:solidFill>
            <a:schemeClr val="accent1">
              <a:shade val="1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64835389924771"/>
          <c:y val="0.65478913511946724"/>
          <c:w val="0.3776727412667279"/>
          <c:h val="0.17177908787498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18826777121695"/>
          <c:y val="2.0963703602966153E-2"/>
          <c:w val="0.78488930032675186"/>
          <c:h val="0.8307755271092726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6)'!$O$55:$O$75</c:f>
              <c:numCache>
                <c:formatCode>General</c:formatCode>
                <c:ptCount val="21"/>
                <c:pt idx="0">
                  <c:v>527.0688230324987</c:v>
                </c:pt>
                <c:pt idx="1">
                  <c:v>559.05236689916728</c:v>
                </c:pt>
                <c:pt idx="2">
                  <c:v>334.92233180419032</c:v>
                </c:pt>
                <c:pt idx="3">
                  <c:v>212.52860331422897</c:v>
                </c:pt>
                <c:pt idx="4">
                  <c:v>184.20239999999984</c:v>
                </c:pt>
                <c:pt idx="5">
                  <c:v>353.55864367151293</c:v>
                </c:pt>
                <c:pt idx="6">
                  <c:v>134.90327528622092</c:v>
                </c:pt>
                <c:pt idx="7">
                  <c:v>309.82490270263128</c:v>
                </c:pt>
                <c:pt idx="8">
                  <c:v>186.1133247973641</c:v>
                </c:pt>
                <c:pt idx="9">
                  <c:v>136.08228581679037</c:v>
                </c:pt>
                <c:pt idx="10">
                  <c:v>256.02550949111617</c:v>
                </c:pt>
                <c:pt idx="11">
                  <c:v>236.18810812499981</c:v>
                </c:pt>
                <c:pt idx="12">
                  <c:v>270.25498746086953</c:v>
                </c:pt>
                <c:pt idx="13">
                  <c:v>417.0263999999998</c:v>
                </c:pt>
                <c:pt idx="14">
                  <c:v>299.1960258608637</c:v>
                </c:pt>
                <c:pt idx="15">
                  <c:v>246.42412532412126</c:v>
                </c:pt>
                <c:pt idx="16">
                  <c:v>233.47361453749977</c:v>
                </c:pt>
                <c:pt idx="17">
                  <c:v>412.39364114077745</c:v>
                </c:pt>
                <c:pt idx="18">
                  <c:v>292.58543252599304</c:v>
                </c:pt>
                <c:pt idx="19">
                  <c:v>247.45169999999919</c:v>
                </c:pt>
                <c:pt idx="20">
                  <c:v>242.68199999999433</c:v>
                </c:pt>
              </c:numCache>
            </c:numRef>
          </c:xVal>
          <c:yVal>
            <c:numRef>
              <c:f>'0.5 ºCh (dataset 6)'!$P$55:$P$75</c:f>
              <c:numCache>
                <c:formatCode>General</c:formatCode>
                <c:ptCount val="21"/>
                <c:pt idx="0">
                  <c:v>493.07855295474184</c:v>
                </c:pt>
                <c:pt idx="1">
                  <c:v>525.89380229855669</c:v>
                </c:pt>
                <c:pt idx="2">
                  <c:v>336.67521133426607</c:v>
                </c:pt>
                <c:pt idx="3">
                  <c:v>211.92557940155345</c:v>
                </c:pt>
                <c:pt idx="4">
                  <c:v>188.10087661896696</c:v>
                </c:pt>
                <c:pt idx="5">
                  <c:v>341.87833358389361</c:v>
                </c:pt>
                <c:pt idx="6">
                  <c:v>139.96298258872821</c:v>
                </c:pt>
                <c:pt idx="7">
                  <c:v>334.20366471951735</c:v>
                </c:pt>
                <c:pt idx="8">
                  <c:v>207.87918535955572</c:v>
                </c:pt>
                <c:pt idx="9">
                  <c:v>145.0600716413264</c:v>
                </c:pt>
                <c:pt idx="10">
                  <c:v>268.40171390445192</c:v>
                </c:pt>
                <c:pt idx="11">
                  <c:v>238.39609663706054</c:v>
                </c:pt>
                <c:pt idx="12">
                  <c:v>296.25652574541959</c:v>
                </c:pt>
                <c:pt idx="13">
                  <c:v>414.20357887534323</c:v>
                </c:pt>
                <c:pt idx="14">
                  <c:v>311.79948148714118</c:v>
                </c:pt>
                <c:pt idx="15">
                  <c:v>256.03756317422722</c:v>
                </c:pt>
                <c:pt idx="16">
                  <c:v>246.41260058670792</c:v>
                </c:pt>
                <c:pt idx="17">
                  <c:v>396.46482551990891</c:v>
                </c:pt>
                <c:pt idx="18">
                  <c:v>308.5770807876558</c:v>
                </c:pt>
                <c:pt idx="19">
                  <c:v>267.37491956152076</c:v>
                </c:pt>
                <c:pt idx="20">
                  <c:v>235.92015440307242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B-4B90-84AF-4E7B552BDFB7}"/>
            </c:ext>
          </c:extLst>
        </c:ser>
        <c:ser>
          <c:idx val="7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'0.5 ºCh (dataset 6)'!$O$78:$O$89</c:f>
              <c:numCache>
                <c:formatCode>General</c:formatCode>
                <c:ptCount val="12"/>
                <c:pt idx="0">
                  <c:v>530.44121365596561</c:v>
                </c:pt>
                <c:pt idx="1">
                  <c:v>554.20560000000489</c:v>
                </c:pt>
                <c:pt idx="2">
                  <c:v>166.90619999999905</c:v>
                </c:pt>
                <c:pt idx="3">
                  <c:v>240.30809999999769</c:v>
                </c:pt>
                <c:pt idx="4">
                  <c:v>552.97144175999995</c:v>
                </c:pt>
                <c:pt idx="5">
                  <c:v>526.93979999999999</c:v>
                </c:pt>
                <c:pt idx="6">
                  <c:v>318.35937208508204</c:v>
                </c:pt>
                <c:pt idx="7">
                  <c:v>369.31674307917132</c:v>
                </c:pt>
                <c:pt idx="8">
                  <c:v>178.55986063999981</c:v>
                </c:pt>
              </c:numCache>
            </c:numRef>
          </c:xVal>
          <c:yVal>
            <c:numRef>
              <c:f>'0.5 ºCh (dataset 6)'!$P$78:$P$89</c:f>
              <c:numCache>
                <c:formatCode>General</c:formatCode>
                <c:ptCount val="12"/>
                <c:pt idx="0">
                  <c:v>461.74009181767343</c:v>
                </c:pt>
                <c:pt idx="1">
                  <c:v>477.81614924380176</c:v>
                </c:pt>
                <c:pt idx="2">
                  <c:v>169.42637525257683</c:v>
                </c:pt>
                <c:pt idx="3">
                  <c:v>280.27444907672322</c:v>
                </c:pt>
                <c:pt idx="4">
                  <c:v>511.59194388432491</c:v>
                </c:pt>
                <c:pt idx="5">
                  <c:v>469.15369146700687</c:v>
                </c:pt>
                <c:pt idx="6">
                  <c:v>320.02772381073845</c:v>
                </c:pt>
                <c:pt idx="7">
                  <c:v>372.24817507329311</c:v>
                </c:pt>
                <c:pt idx="8">
                  <c:v>161.62058654850821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B-4B90-84AF-4E7B552BDFB7}"/>
            </c:ext>
          </c:extLst>
        </c:ser>
        <c:ser>
          <c:idx val="2"/>
          <c:order val="2"/>
          <c:tx>
            <c:v>Measured = Expected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68B-4B90-84AF-4E7B552BDFB7}"/>
            </c:ext>
          </c:extLst>
        </c:ser>
        <c:ser>
          <c:idx val="3"/>
          <c:order val="3"/>
          <c:tx>
            <c:v>Error ± 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6)'!$S$17:$S$18</c:f>
              <c:numCache>
                <c:formatCode>General</c:formatCode>
                <c:ptCount val="2"/>
                <c:pt idx="0">
                  <c:v>0</c:v>
                </c:pt>
                <c:pt idx="1">
                  <c:v>1100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8B-4B90-84AF-4E7B552BDFB7}"/>
            </c:ext>
          </c:extLst>
        </c:ser>
        <c:ser>
          <c:idx val="4"/>
          <c:order val="4"/>
          <c:tx>
            <c:v>Error ± 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6)'!$T$17:$T$18</c:f>
              <c:numCache>
                <c:formatCode>General</c:formatCode>
                <c:ptCount val="2"/>
                <c:pt idx="0">
                  <c:v>0</c:v>
                </c:pt>
                <c:pt idx="1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8B-4B90-84AF-4E7B552BDFB7}"/>
            </c:ext>
          </c:extLst>
        </c:ser>
        <c:ser>
          <c:idx val="5"/>
          <c:order val="5"/>
          <c:tx>
            <c:v>-10%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6)'!$Q$17:$Q$18</c:f>
              <c:numCache>
                <c:formatCode>General</c:formatCode>
                <c:ptCount val="2"/>
                <c:pt idx="0">
                  <c:v>0</c:v>
                </c:pt>
                <c:pt idx="1">
                  <c:v>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8B-4B90-84AF-4E7B552BDFB7}"/>
            </c:ext>
          </c:extLst>
        </c:ser>
        <c:ser>
          <c:idx val="6"/>
          <c:order val="6"/>
          <c:tx>
            <c:v>-20%</c:v>
          </c:tx>
          <c:spPr>
            <a:ln w="158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'0.5 ºCh (dataset 6)'!$O$17:$O$18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'0.5 ºCh (dataset 6)'!$R$17:$R$18</c:f>
              <c:numCache>
                <c:formatCode>General</c:formatCode>
                <c:ptCount val="2"/>
                <c:pt idx="0">
                  <c:v>0</c:v>
                </c:pt>
                <c:pt idx="1">
                  <c:v>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8B-4B90-84AF-4E7B552B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901328"/>
        <c:axId val="1367928688"/>
        <c:extLst/>
      </c:scatterChart>
      <c:valAx>
        <c:axId val="1367901328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9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603257467085765"/>
              <c:y val="0.92523160329727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28688"/>
        <c:crosses val="autoZero"/>
        <c:crossBetween val="midCat"/>
      </c:valAx>
      <c:valAx>
        <c:axId val="1367928688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Â</a:t>
                </a:r>
                <a:r>
                  <a:rPr lang="en-US" baseline="-25000"/>
                  <a:t>q</a:t>
                </a:r>
                <a:r>
                  <a:rPr lang="en-US"/>
                  <a:t> (J/m</a:t>
                </a:r>
                <a:r>
                  <a:rPr lang="en-US" baseline="30000"/>
                  <a:t>2</a:t>
                </a:r>
                <a:r>
                  <a:rPr lang="en-US"/>
                  <a:t>) </a:t>
                </a:r>
                <a:r>
                  <a: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× 10</a:t>
                </a:r>
                <a:r>
                  <a:rPr lang="en-US" sz="800" b="0" i="0" u="none" strike="noStrike" kern="1200" baseline="30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9283207283850936E-3"/>
              <c:y val="0.30140226672632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367901328"/>
        <c:crosses val="autoZero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9066242290758497"/>
          <c:y val="0.63707660302128344"/>
          <c:w val="0.35220679518073789"/>
          <c:h val="0.1984097179371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2385722635987"/>
          <c:y val="2.1979870557546397E-2"/>
          <c:w val="0.78614579387179373"/>
          <c:h val="0.83247451083095214"/>
        </c:manualLayout>
      </c:layout>
      <c:scatterChart>
        <c:scatterStyle val="lineMarker"/>
        <c:varyColors val="0"/>
        <c:ser>
          <c:idx val="0"/>
          <c:order val="0"/>
          <c:tx>
            <c:v>Training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'Latent heat prediction'!$J$8:$J$49</c:f>
              <c:numCache>
                <c:formatCode>General</c:formatCode>
                <c:ptCount val="42"/>
                <c:pt idx="0">
                  <c:v>56.719014556235237</c:v>
                </c:pt>
                <c:pt idx="1">
                  <c:v>69.099508039681865</c:v>
                </c:pt>
                <c:pt idx="2">
                  <c:v>58.014708759842698</c:v>
                </c:pt>
                <c:pt idx="3">
                  <c:v>77.087223529409982</c:v>
                </c:pt>
                <c:pt idx="4">
                  <c:v>53.946762352941192</c:v>
                </c:pt>
                <c:pt idx="5">
                  <c:v>175.64975208847059</c:v>
                </c:pt>
                <c:pt idx="6">
                  <c:v>69.131279265421043</c:v>
                </c:pt>
                <c:pt idx="7">
                  <c:v>58.511350588235246</c:v>
                </c:pt>
                <c:pt idx="8">
                  <c:v>50.584677167555377</c:v>
                </c:pt>
                <c:pt idx="9">
                  <c:v>61.229536152376859</c:v>
                </c:pt>
                <c:pt idx="10">
                  <c:v>69.269575347451067</c:v>
                </c:pt>
                <c:pt idx="11">
                  <c:v>81.325750073648678</c:v>
                </c:pt>
                <c:pt idx="12">
                  <c:v>177.58134007385317</c:v>
                </c:pt>
                <c:pt idx="13">
                  <c:v>81.946425131922041</c:v>
                </c:pt>
                <c:pt idx="14">
                  <c:v>71.775063000983835</c:v>
                </c:pt>
                <c:pt idx="15">
                  <c:v>165.60922596053391</c:v>
                </c:pt>
                <c:pt idx="16">
                  <c:v>168.49309139660087</c:v>
                </c:pt>
                <c:pt idx="17">
                  <c:v>158.01273309973627</c:v>
                </c:pt>
                <c:pt idx="18">
                  <c:v>164.33006477459486</c:v>
                </c:pt>
                <c:pt idx="19">
                  <c:v>85.685027094833018</c:v>
                </c:pt>
                <c:pt idx="20">
                  <c:v>123.05481882352942</c:v>
                </c:pt>
                <c:pt idx="21">
                  <c:v>167.38087764705881</c:v>
                </c:pt>
                <c:pt idx="22">
                  <c:v>76.333161176469858</c:v>
                </c:pt>
                <c:pt idx="23">
                  <c:v>158.48461348019299</c:v>
                </c:pt>
                <c:pt idx="24">
                  <c:v>67.991751569271727</c:v>
                </c:pt>
                <c:pt idx="25">
                  <c:v>74.141575529733501</c:v>
                </c:pt>
                <c:pt idx="26">
                  <c:v>64.629346212761021</c:v>
                </c:pt>
                <c:pt idx="27">
                  <c:v>139.3152947968284</c:v>
                </c:pt>
                <c:pt idx="28">
                  <c:v>84.527868748769848</c:v>
                </c:pt>
                <c:pt idx="29">
                  <c:v>43.226137847686353</c:v>
                </c:pt>
                <c:pt idx="30">
                  <c:v>117.31237721338384</c:v>
                </c:pt>
                <c:pt idx="31">
                  <c:v>168.78402986881159</c:v>
                </c:pt>
                <c:pt idx="32">
                  <c:v>78.602304705882105</c:v>
                </c:pt>
                <c:pt idx="33">
                  <c:v>53.017263529411473</c:v>
                </c:pt>
                <c:pt idx="34">
                  <c:v>92.93890209649193</c:v>
                </c:pt>
                <c:pt idx="35">
                  <c:v>77.087223529409982</c:v>
                </c:pt>
                <c:pt idx="36">
                  <c:v>83.719009855646561</c:v>
                </c:pt>
                <c:pt idx="37">
                  <c:v>65.317349749977026</c:v>
                </c:pt>
                <c:pt idx="38">
                  <c:v>56.286252103947298</c:v>
                </c:pt>
                <c:pt idx="39">
                  <c:v>42.851628620329002</c:v>
                </c:pt>
                <c:pt idx="40">
                  <c:v>60.73904284393474</c:v>
                </c:pt>
                <c:pt idx="41">
                  <c:v>42.82212705882371</c:v>
                </c:pt>
              </c:numCache>
            </c:numRef>
          </c:xVal>
          <c:yVal>
            <c:numRef>
              <c:f>'Latent heat prediction'!$K$8:$K$49</c:f>
              <c:numCache>
                <c:formatCode>General</c:formatCode>
                <c:ptCount val="42"/>
                <c:pt idx="0">
                  <c:v>50.229748107329556</c:v>
                </c:pt>
                <c:pt idx="1">
                  <c:v>74.684672627857822</c:v>
                </c:pt>
                <c:pt idx="2">
                  <c:v>50.718663111154612</c:v>
                </c:pt>
                <c:pt idx="3">
                  <c:v>73.321166456427534</c:v>
                </c:pt>
                <c:pt idx="4">
                  <c:v>45.35362063058821</c:v>
                </c:pt>
                <c:pt idx="5">
                  <c:v>158.9966663518826</c:v>
                </c:pt>
                <c:pt idx="6">
                  <c:v>75.112925399805448</c:v>
                </c:pt>
                <c:pt idx="7">
                  <c:v>58.459506014122915</c:v>
                </c:pt>
                <c:pt idx="8">
                  <c:v>60.88004565378732</c:v>
                </c:pt>
                <c:pt idx="9">
                  <c:v>60.756124330829728</c:v>
                </c:pt>
                <c:pt idx="10">
                  <c:v>73.940168629614206</c:v>
                </c:pt>
                <c:pt idx="11">
                  <c:v>83.416047230776456</c:v>
                </c:pt>
                <c:pt idx="12">
                  <c:v>163.44151314371095</c:v>
                </c:pt>
                <c:pt idx="13">
                  <c:v>88.016410692128872</c:v>
                </c:pt>
                <c:pt idx="14">
                  <c:v>67.905223795491764</c:v>
                </c:pt>
                <c:pt idx="15">
                  <c:v>170.31228446102736</c:v>
                </c:pt>
                <c:pt idx="16">
                  <c:v>143.50330609706003</c:v>
                </c:pt>
                <c:pt idx="17">
                  <c:v>176.03952244391368</c:v>
                </c:pt>
                <c:pt idx="18">
                  <c:v>177.78416142085189</c:v>
                </c:pt>
                <c:pt idx="19">
                  <c:v>83.685857196991137</c:v>
                </c:pt>
                <c:pt idx="20">
                  <c:v>124.11378804705947</c:v>
                </c:pt>
                <c:pt idx="21">
                  <c:v>145.80736432941177</c:v>
                </c:pt>
                <c:pt idx="22">
                  <c:v>87.10595152938032</c:v>
                </c:pt>
                <c:pt idx="23">
                  <c:v>175.57133963092033</c:v>
                </c:pt>
                <c:pt idx="24">
                  <c:v>66.871759120815142</c:v>
                </c:pt>
                <c:pt idx="25">
                  <c:v>74.540645377449039</c:v>
                </c:pt>
                <c:pt idx="26">
                  <c:v>63.565169451714645</c:v>
                </c:pt>
                <c:pt idx="27">
                  <c:v>144.91276548599302</c:v>
                </c:pt>
                <c:pt idx="28">
                  <c:v>84.810806739837275</c:v>
                </c:pt>
                <c:pt idx="29">
                  <c:v>45.082937852029843</c:v>
                </c:pt>
                <c:pt idx="30">
                  <c:v>115.69028715121448</c:v>
                </c:pt>
                <c:pt idx="31">
                  <c:v>163.56235287627112</c:v>
                </c:pt>
                <c:pt idx="32">
                  <c:v>83.096931811726904</c:v>
                </c:pt>
                <c:pt idx="33">
                  <c:v>52.655694014082762</c:v>
                </c:pt>
                <c:pt idx="34">
                  <c:v>95.902071454288389</c:v>
                </c:pt>
                <c:pt idx="35">
                  <c:v>73.321166456427534</c:v>
                </c:pt>
                <c:pt idx="36">
                  <c:v>78.747408242422622</c:v>
                </c:pt>
                <c:pt idx="37">
                  <c:v>73.781638550536485</c:v>
                </c:pt>
                <c:pt idx="38">
                  <c:v>60.057469109602749</c:v>
                </c:pt>
                <c:pt idx="39">
                  <c:v>43.498823447669658</c:v>
                </c:pt>
                <c:pt idx="40">
                  <c:v>61.930843489697217</c:v>
                </c:pt>
                <c:pt idx="41">
                  <c:v>50.636552696476365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77-40FE-B0EA-EC4BBDB67907}"/>
            </c:ext>
          </c:extLst>
        </c:ser>
        <c:ser>
          <c:idx val="1"/>
          <c:order val="1"/>
          <c:tx>
            <c:v>Validation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6350">
                <a:solidFill>
                  <a:schemeClr val="tx1"/>
                </a:solidFill>
              </a:ln>
              <a:effectLst/>
            </c:spPr>
          </c:marker>
          <c:xVal>
            <c:numRef>
              <c:f>'Latent heat prediction'!$U$8:$U$25</c:f>
              <c:numCache>
                <c:formatCode>General</c:formatCode>
                <c:ptCount val="18"/>
                <c:pt idx="0">
                  <c:v>75.024457874999953</c:v>
                </c:pt>
                <c:pt idx="1">
                  <c:v>81.501033373479387</c:v>
                </c:pt>
                <c:pt idx="2">
                  <c:v>167.42186143385257</c:v>
                </c:pt>
                <c:pt idx="3">
                  <c:v>82.962082142286576</c:v>
                </c:pt>
                <c:pt idx="4">
                  <c:v>114.60137294117648</c:v>
                </c:pt>
                <c:pt idx="5">
                  <c:v>117.31237721338384</c:v>
                </c:pt>
                <c:pt idx="6">
                  <c:v>82.216204132997078</c:v>
                </c:pt>
                <c:pt idx="7">
                  <c:v>59.118350229750966</c:v>
                </c:pt>
                <c:pt idx="8">
                  <c:v>74.162206970735241</c:v>
                </c:pt>
                <c:pt idx="9">
                  <c:v>80.013862376815268</c:v>
                </c:pt>
                <c:pt idx="10">
                  <c:v>67.50908575863744</c:v>
                </c:pt>
                <c:pt idx="11">
                  <c:v>85.84570189933504</c:v>
                </c:pt>
                <c:pt idx="12">
                  <c:v>49.602384113526554</c:v>
                </c:pt>
                <c:pt idx="13">
                  <c:v>70.763008869779881</c:v>
                </c:pt>
                <c:pt idx="14">
                  <c:v>84.659494736842063</c:v>
                </c:pt>
                <c:pt idx="15">
                  <c:v>78.275898632367941</c:v>
                </c:pt>
                <c:pt idx="16">
                  <c:v>98.414969093777017</c:v>
                </c:pt>
                <c:pt idx="17">
                  <c:v>176.04177882353099</c:v>
                </c:pt>
              </c:numCache>
            </c:numRef>
          </c:xVal>
          <c:yVal>
            <c:numRef>
              <c:f>'Latent heat prediction'!$V$8:$V$25</c:f>
              <c:numCache>
                <c:formatCode>General</c:formatCode>
                <c:ptCount val="18"/>
                <c:pt idx="0">
                  <c:v>74.090659733227369</c:v>
                </c:pt>
                <c:pt idx="1">
                  <c:v>79.889927836752975</c:v>
                </c:pt>
                <c:pt idx="2">
                  <c:v>153.24292555150271</c:v>
                </c:pt>
                <c:pt idx="3">
                  <c:v>77.973646237605038</c:v>
                </c:pt>
                <c:pt idx="4">
                  <c:v>112.39301409882334</c:v>
                </c:pt>
                <c:pt idx="5">
                  <c:v>115.69028715121448</c:v>
                </c:pt>
                <c:pt idx="6">
                  <c:v>84.089324641035688</c:v>
                </c:pt>
                <c:pt idx="7">
                  <c:v>64.60636816358425</c:v>
                </c:pt>
                <c:pt idx="8">
                  <c:v>76.582093421789992</c:v>
                </c:pt>
                <c:pt idx="9">
                  <c:v>80.73049791229586</c:v>
                </c:pt>
                <c:pt idx="10">
                  <c:v>65.863939106822627</c:v>
                </c:pt>
                <c:pt idx="11">
                  <c:v>92.072990088293778</c:v>
                </c:pt>
                <c:pt idx="12">
                  <c:v>51.195993169561021</c:v>
                </c:pt>
                <c:pt idx="13">
                  <c:v>71.950238269838223</c:v>
                </c:pt>
                <c:pt idx="14">
                  <c:v>82.27074943759726</c:v>
                </c:pt>
                <c:pt idx="15">
                  <c:v>79.573416845606801</c:v>
                </c:pt>
                <c:pt idx="16">
                  <c:v>103.8665076887925</c:v>
                </c:pt>
                <c:pt idx="17">
                  <c:v>148.49955275299598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77-40FE-B0EA-EC4BBDB67907}"/>
            </c:ext>
          </c:extLst>
        </c:ser>
        <c:ser>
          <c:idx val="2"/>
          <c:order val="2"/>
          <c:tx>
            <c:v>Measured = Estimated</c:v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'Latent heat prediction'!$Y$7:$Y$8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'Latent heat prediction'!$Z$7:$Z$8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77-40FE-B0EA-EC4BBDB67907}"/>
            </c:ext>
          </c:extLst>
        </c:ser>
        <c:ser>
          <c:idx val="3"/>
          <c:order val="3"/>
          <c:tx>
            <c:strRef>
              <c:f>'Latent heat prediction'!$AA$6</c:f>
              <c:strCache>
                <c:ptCount val="1"/>
                <c:pt idx="0">
                  <c:v>Error = ± 10 %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'Latent heat prediction'!$Y$7:$Y$8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'Latent heat prediction'!$AA$7:$AA$8</c:f>
              <c:numCache>
                <c:formatCode>General</c:formatCode>
                <c:ptCount val="2"/>
                <c:pt idx="0">
                  <c:v>0</c:v>
                </c:pt>
                <c:pt idx="1">
                  <c:v>220.00000000000003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77-40FE-B0EA-EC4BBDB67907}"/>
            </c:ext>
          </c:extLst>
        </c:ser>
        <c:ser>
          <c:idx val="4"/>
          <c:order val="4"/>
          <c:tx>
            <c:strRef>
              <c:f>'Latent heat prediction'!$AB$6</c:f>
              <c:strCache>
                <c:ptCount val="1"/>
                <c:pt idx="0">
                  <c:v>Error = ± 20 %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'Latent heat prediction'!$Y$7:$Y$8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'Latent heat prediction'!$AB$7:$AB$8</c:f>
              <c:numCache>
                <c:formatCode>General</c:formatCode>
                <c:ptCount val="2"/>
                <c:pt idx="0">
                  <c:v>0</c:v>
                </c:pt>
                <c:pt idx="1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77-40FE-B0EA-EC4BBDB67907}"/>
            </c:ext>
          </c:extLst>
        </c:ser>
        <c:ser>
          <c:idx val="5"/>
          <c:order val="5"/>
          <c:tx>
            <c:strRef>
              <c:f>'Latent heat prediction'!$AC$6</c:f>
              <c:strCache>
                <c:ptCount val="1"/>
                <c:pt idx="0">
                  <c:v>Error = - 10 %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'Latent heat prediction'!$Y$7:$Y$8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'Latent heat prediction'!$AC$7:$AC$8</c:f>
              <c:numCache>
                <c:formatCode>General</c:formatCode>
                <c:ptCount val="2"/>
                <c:pt idx="0">
                  <c:v>0</c:v>
                </c:pt>
                <c:pt idx="1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77-40FE-B0EA-EC4BBDB67907}"/>
            </c:ext>
          </c:extLst>
        </c:ser>
        <c:ser>
          <c:idx val="6"/>
          <c:order val="6"/>
          <c:tx>
            <c:strRef>
              <c:f>'Latent heat prediction'!$AD$6</c:f>
              <c:strCache>
                <c:ptCount val="1"/>
                <c:pt idx="0">
                  <c:v>Error = - 20 %</c:v>
                </c:pt>
              </c:strCache>
            </c:strRef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'Latent heat prediction'!$Y$7:$Y$8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'Latent heat prediction'!$AD$7:$AD$8</c:f>
              <c:numCache>
                <c:formatCode>General</c:formatCode>
                <c:ptCount val="2"/>
                <c:pt idx="0">
                  <c:v>0</c:v>
                </c:pt>
                <c:pt idx="1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77-40FE-B0EA-EC4BBDB6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386176"/>
        <c:axId val="1684383296"/>
      </c:scatterChart>
      <c:valAx>
        <c:axId val="1684386176"/>
        <c:scaling>
          <c:orientation val="minMax"/>
          <c:max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L (kJ/kg)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84383296"/>
        <c:crosses val="autoZero"/>
        <c:crossBetween val="midCat"/>
        <c:majorUnit val="40"/>
      </c:valAx>
      <c:valAx>
        <c:axId val="1684383296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684386176"/>
        <c:crosses val="autoZero"/>
        <c:crossBetween val="midCat"/>
        <c:majorUnit val="4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1837539366089191"/>
          <c:y val="0.60718648016254129"/>
          <c:w val="0.39809940207224342"/>
          <c:h val="0.20686332649650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9</xdr:col>
      <xdr:colOff>173622</xdr:colOff>
      <xdr:row>18</xdr:row>
      <xdr:rowOff>155661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1CBA61-C232-45EE-AA53-949707C77E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132187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C48B0A-6FC6-4CA0-A86E-B34F97832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0</xdr:rowOff>
    </xdr:from>
    <xdr:to>
      <xdr:col>9</xdr:col>
      <xdr:colOff>173622</xdr:colOff>
      <xdr:row>18</xdr:row>
      <xdr:rowOff>131959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6B96A7-81B4-4C3F-B895-8F244832F73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132187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7BC39C-AFE5-4FAE-AC2F-9992423FB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9</xdr:col>
      <xdr:colOff>173622</xdr:colOff>
      <xdr:row>18</xdr:row>
      <xdr:rowOff>155661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C2CA56-9825-4A06-91F9-EB907F6A78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132187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49B69E7-D428-4B72-9FF5-F8811D639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660379-21E3-429D-A121-FA093DC776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131601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CD7D9D-0145-404D-B13F-AF211313F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F3CB97-6CC9-43E7-8420-9D2C5D1DFB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135410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5723C2-1921-423D-89EB-DA90DEF3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30</xdr:col>
      <xdr:colOff>153817</xdr:colOff>
      <xdr:row>19</xdr:row>
      <xdr:rowOff>137088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B5060FB-AC9C-4B4B-A9DF-492051347F97}"/>
            </a:ext>
          </a:extLst>
        </xdr:cNvPr>
        <xdr:cNvGrpSpPr/>
      </xdr:nvGrpSpPr>
      <xdr:grpSpPr>
        <a:xfrm>
          <a:off x="18131118" y="784412"/>
          <a:ext cx="6518758" cy="3058013"/>
          <a:chOff x="18121313" y="785813"/>
          <a:chExt cx="6487942" cy="30443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F7E9E093-E11C-6CFC-AFE2-B667D2C995B1}"/>
              </a:ext>
            </a:extLst>
          </xdr:cNvPr>
          <xdr:cNvGrpSpPr/>
        </xdr:nvGrpSpPr>
        <xdr:grpSpPr>
          <a:xfrm>
            <a:off x="18121313" y="785813"/>
            <a:ext cx="3223981" cy="3048166"/>
            <a:chOff x="18121313" y="785813"/>
            <a:chExt cx="3223981" cy="3048166"/>
          </a:xfrm>
        </xdr:grpSpPr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FED65419-E0FB-3734-35C9-14B1AFE289A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8121313" y="785813"/>
            <a:ext cx="3223981" cy="3048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EF60668A-D070-5B4B-8FF4-B7CD88858CDC}"/>
                </a:ext>
              </a:extLst>
            </xdr:cNvPr>
            <xdr:cNvSpPr txBox="1"/>
          </xdr:nvSpPr>
          <xdr:spPr>
            <a:xfrm>
              <a:off x="18675429" y="839390"/>
              <a:ext cx="340757" cy="27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99F2516B-AF94-600D-5F0C-CE8EB69D788A}"/>
              </a:ext>
            </a:extLst>
          </xdr:cNvPr>
          <xdr:cNvGrpSpPr/>
        </xdr:nvGrpSpPr>
        <xdr:grpSpPr>
          <a:xfrm>
            <a:off x="21394250" y="785813"/>
            <a:ext cx="3215005" cy="3025626"/>
            <a:chOff x="21496165" y="785813"/>
            <a:chExt cx="3215005" cy="30256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E0560B37-52D6-7310-DB5B-3A970E0B87FB}"/>
                </a:ext>
              </a:extLst>
            </xdr:cNvPr>
            <xdr:cNvGraphicFramePr>
              <a:graphicFrameLocks/>
            </xdr:cNvGraphicFramePr>
          </xdr:nvGraphicFramePr>
          <xdr:xfrm>
            <a:off x="21496165" y="785813"/>
            <a:ext cx="3215005" cy="30256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7869BD80-7790-9770-60C6-B6B77288325E}"/>
                </a:ext>
              </a:extLst>
            </xdr:cNvPr>
            <xdr:cNvSpPr txBox="1"/>
          </xdr:nvSpPr>
          <xdr:spPr>
            <a:xfrm>
              <a:off x="22010595" y="835580"/>
              <a:ext cx="371237" cy="2738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A62D68-E432-45FD-8BBD-BFA30B73C2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131600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D1C2B9-B868-442B-93F1-FC17E025B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30</xdr:col>
      <xdr:colOff>153817</xdr:colOff>
      <xdr:row>19</xdr:row>
      <xdr:rowOff>133278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76E80F9-9C31-41FF-82D2-267E4C91B3A2}"/>
            </a:ext>
          </a:extLst>
        </xdr:cNvPr>
        <xdr:cNvGrpSpPr/>
      </xdr:nvGrpSpPr>
      <xdr:grpSpPr>
        <a:xfrm>
          <a:off x="16954500" y="789214"/>
          <a:ext cx="6467531" cy="3021803"/>
          <a:chOff x="18121313" y="785813"/>
          <a:chExt cx="6487942" cy="30443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FA170932-7815-AC45-5096-348852FA1148}"/>
              </a:ext>
            </a:extLst>
          </xdr:cNvPr>
          <xdr:cNvGrpSpPr/>
        </xdr:nvGrpSpPr>
        <xdr:grpSpPr>
          <a:xfrm>
            <a:off x="18121313" y="785813"/>
            <a:ext cx="3223981" cy="3048166"/>
            <a:chOff x="18121313" y="785813"/>
            <a:chExt cx="3223981" cy="3048166"/>
          </a:xfrm>
        </xdr:grpSpPr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ED055E73-683A-433E-C1AB-7C2A91980D0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8121313" y="785813"/>
            <a:ext cx="3223981" cy="3048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69F9C849-D6F1-2205-DFFC-2C0076B6342B}"/>
                </a:ext>
              </a:extLst>
            </xdr:cNvPr>
            <xdr:cNvSpPr txBox="1"/>
          </xdr:nvSpPr>
          <xdr:spPr>
            <a:xfrm>
              <a:off x="18675429" y="839390"/>
              <a:ext cx="340757" cy="27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FFD92875-43DC-AB59-9F8E-9BAC083AE6EA}"/>
              </a:ext>
            </a:extLst>
          </xdr:cNvPr>
          <xdr:cNvGrpSpPr/>
        </xdr:nvGrpSpPr>
        <xdr:grpSpPr>
          <a:xfrm>
            <a:off x="21394250" y="785813"/>
            <a:ext cx="3215005" cy="3025626"/>
            <a:chOff x="21496165" y="785813"/>
            <a:chExt cx="3215005" cy="30256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C8BB2586-BE32-A73D-75D6-E2766C663B10}"/>
                </a:ext>
              </a:extLst>
            </xdr:cNvPr>
            <xdr:cNvGraphicFramePr>
              <a:graphicFrameLocks/>
            </xdr:cNvGraphicFramePr>
          </xdr:nvGraphicFramePr>
          <xdr:xfrm>
            <a:off x="21496165" y="785813"/>
            <a:ext cx="3215005" cy="30256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9A7E88E-C1F8-F476-546B-09D3690DF8B9}"/>
                </a:ext>
              </a:extLst>
            </xdr:cNvPr>
            <xdr:cNvSpPr txBox="1"/>
          </xdr:nvSpPr>
          <xdr:spPr>
            <a:xfrm>
              <a:off x="22010595" y="835580"/>
              <a:ext cx="371237" cy="2738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DEEC41-49BB-4EEF-9024-6AC171F4AD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135410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41D10B-9C1E-44C9-858B-299647B08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30</xdr:col>
      <xdr:colOff>153817</xdr:colOff>
      <xdr:row>19</xdr:row>
      <xdr:rowOff>137088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9BADAAA-7B21-44C0-93CA-1A5CA560EE20}"/>
            </a:ext>
          </a:extLst>
        </xdr:cNvPr>
        <xdr:cNvGrpSpPr/>
      </xdr:nvGrpSpPr>
      <xdr:grpSpPr>
        <a:xfrm>
          <a:off x="16954500" y="789214"/>
          <a:ext cx="6467531" cy="3017993"/>
          <a:chOff x="18121313" y="785813"/>
          <a:chExt cx="6487942" cy="30443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B2FD527C-02B6-EB4B-77BB-63C521EB6700}"/>
              </a:ext>
            </a:extLst>
          </xdr:cNvPr>
          <xdr:cNvGrpSpPr/>
        </xdr:nvGrpSpPr>
        <xdr:grpSpPr>
          <a:xfrm>
            <a:off x="18121313" y="785813"/>
            <a:ext cx="3223981" cy="3048166"/>
            <a:chOff x="18121313" y="785813"/>
            <a:chExt cx="3223981" cy="3048166"/>
          </a:xfrm>
        </xdr:grpSpPr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6638AF3E-1BD0-1C1A-CDA0-777EA0232D4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8121313" y="785813"/>
            <a:ext cx="3223981" cy="3048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1797F3A5-ADE2-E3A7-1BEC-27B17120DC6F}"/>
                </a:ext>
              </a:extLst>
            </xdr:cNvPr>
            <xdr:cNvSpPr txBox="1"/>
          </xdr:nvSpPr>
          <xdr:spPr>
            <a:xfrm>
              <a:off x="18675429" y="839390"/>
              <a:ext cx="340757" cy="27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E103E887-294C-3B22-6B2A-09B73ADA7451}"/>
              </a:ext>
            </a:extLst>
          </xdr:cNvPr>
          <xdr:cNvGrpSpPr/>
        </xdr:nvGrpSpPr>
        <xdr:grpSpPr>
          <a:xfrm>
            <a:off x="21394250" y="785813"/>
            <a:ext cx="3215005" cy="3025626"/>
            <a:chOff x="21496165" y="785813"/>
            <a:chExt cx="3215005" cy="30256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71A920-F658-F27F-BA56-77A7AAC4B864}"/>
                </a:ext>
              </a:extLst>
            </xdr:cNvPr>
            <xdr:cNvGraphicFramePr>
              <a:graphicFrameLocks/>
            </xdr:cNvGraphicFramePr>
          </xdr:nvGraphicFramePr>
          <xdr:xfrm>
            <a:off x="21496165" y="785813"/>
            <a:ext cx="3215005" cy="30256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EEC0051-9ADF-BFDF-EF6A-EAB78596C449}"/>
                </a:ext>
              </a:extLst>
            </xdr:cNvPr>
            <xdr:cNvSpPr txBox="1"/>
          </xdr:nvSpPr>
          <xdr:spPr>
            <a:xfrm>
              <a:off x="22010595" y="835580"/>
              <a:ext cx="371237" cy="2738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32B5AE-FFC8-42B1-BAF2-E046FB84EC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135410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2CA3E9-0F16-49E8-946A-23BC30CB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30</xdr:col>
      <xdr:colOff>153817</xdr:colOff>
      <xdr:row>19</xdr:row>
      <xdr:rowOff>137088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A28270B-7458-40DA-8116-F39CDA52F0DF}"/>
            </a:ext>
          </a:extLst>
        </xdr:cNvPr>
        <xdr:cNvGrpSpPr/>
      </xdr:nvGrpSpPr>
      <xdr:grpSpPr>
        <a:xfrm>
          <a:off x="16954500" y="789214"/>
          <a:ext cx="6467531" cy="3017993"/>
          <a:chOff x="18121313" y="785813"/>
          <a:chExt cx="6487942" cy="30443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67D176E8-1528-53C8-C6F6-5B78E7BC8A5A}"/>
              </a:ext>
            </a:extLst>
          </xdr:cNvPr>
          <xdr:cNvGrpSpPr/>
        </xdr:nvGrpSpPr>
        <xdr:grpSpPr>
          <a:xfrm>
            <a:off x="18121313" y="785813"/>
            <a:ext cx="3223981" cy="3048166"/>
            <a:chOff x="18121313" y="785813"/>
            <a:chExt cx="3223981" cy="3048166"/>
          </a:xfrm>
        </xdr:grpSpPr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213EB5CA-4E76-03A5-3079-9D4ACFB5B8F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8121313" y="785813"/>
            <a:ext cx="3223981" cy="3048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C1E7B3A8-CAFD-4449-A4D1-1C0153B1825E}"/>
                </a:ext>
              </a:extLst>
            </xdr:cNvPr>
            <xdr:cNvSpPr txBox="1"/>
          </xdr:nvSpPr>
          <xdr:spPr>
            <a:xfrm>
              <a:off x="18675429" y="839390"/>
              <a:ext cx="340757" cy="27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79B821F8-68C6-0CAD-F7CE-F5326E6F166B}"/>
              </a:ext>
            </a:extLst>
          </xdr:cNvPr>
          <xdr:cNvGrpSpPr/>
        </xdr:nvGrpSpPr>
        <xdr:grpSpPr>
          <a:xfrm>
            <a:off x="21394250" y="785813"/>
            <a:ext cx="3215005" cy="3025626"/>
            <a:chOff x="21496165" y="785813"/>
            <a:chExt cx="3215005" cy="30256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1A409903-CF66-BF98-9CB8-A2085C433A4D}"/>
                </a:ext>
              </a:extLst>
            </xdr:cNvPr>
            <xdr:cNvGraphicFramePr>
              <a:graphicFrameLocks/>
            </xdr:cNvGraphicFramePr>
          </xdr:nvGraphicFramePr>
          <xdr:xfrm>
            <a:off x="21496165" y="785813"/>
            <a:ext cx="3215005" cy="30256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3680934-E41A-8680-87E4-9D1A23EAE323}"/>
                </a:ext>
              </a:extLst>
            </xdr:cNvPr>
            <xdr:cNvSpPr txBox="1"/>
          </xdr:nvSpPr>
          <xdr:spPr>
            <a:xfrm>
              <a:off x="22010595" y="835580"/>
              <a:ext cx="371237" cy="2738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11593</xdr:colOff>
      <xdr:row>2</xdr:row>
      <xdr:rowOff>10367</xdr:rowOff>
    </xdr:from>
    <xdr:to>
      <xdr:col>8</xdr:col>
      <xdr:colOff>912762</xdr:colOff>
      <xdr:row>18</xdr:row>
      <xdr:rowOff>155075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FB5EF82-74E3-49BB-85AD-90FE7F14146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41993</xdr:colOff>
      <xdr:row>3</xdr:row>
      <xdr:rowOff>17052</xdr:rowOff>
    </xdr:from>
    <xdr:to>
      <xdr:col>20</xdr:col>
      <xdr:colOff>495252</xdr:colOff>
      <xdr:row>19</xdr:row>
      <xdr:rowOff>135410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458C0F9-ABEB-427B-9A52-A12F00847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</xdr:row>
      <xdr:rowOff>0</xdr:rowOff>
    </xdr:from>
    <xdr:to>
      <xdr:col>30</xdr:col>
      <xdr:colOff>153817</xdr:colOff>
      <xdr:row>19</xdr:row>
      <xdr:rowOff>137088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23EA5B4-FF26-46D5-BF45-F6EF7885E55C}"/>
            </a:ext>
          </a:extLst>
        </xdr:cNvPr>
        <xdr:cNvGrpSpPr/>
      </xdr:nvGrpSpPr>
      <xdr:grpSpPr>
        <a:xfrm>
          <a:off x="16954500" y="789214"/>
          <a:ext cx="6467531" cy="3017993"/>
          <a:chOff x="18121313" y="785813"/>
          <a:chExt cx="6487942" cy="30443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E3711F39-BD6E-E595-B985-AE8B1551FBAF}"/>
              </a:ext>
            </a:extLst>
          </xdr:cNvPr>
          <xdr:cNvGrpSpPr/>
        </xdr:nvGrpSpPr>
        <xdr:grpSpPr>
          <a:xfrm>
            <a:off x="18121313" y="785813"/>
            <a:ext cx="3223981" cy="3048166"/>
            <a:chOff x="18121313" y="785813"/>
            <a:chExt cx="3223981" cy="3048166"/>
          </a:xfrm>
        </xdr:grpSpPr>
        <xdr:graphicFrame macro="">
          <xdr:nvGraphicFramePr>
            <xdr:cNvPr id="9" name="Gráfico 8">
              <a:extLst>
                <a:ext uri="{FF2B5EF4-FFF2-40B4-BE49-F238E27FC236}">
                  <a16:creationId xmlns:a16="http://schemas.microsoft.com/office/drawing/2014/main" id="{0875759F-EBAC-6275-5734-353260E18CE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18121313" y="785813"/>
            <a:ext cx="3223981" cy="30481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2B9EC218-05C6-CD7C-0D24-6854F25270BD}"/>
                </a:ext>
              </a:extLst>
            </xdr:cNvPr>
            <xdr:cNvSpPr txBox="1"/>
          </xdr:nvSpPr>
          <xdr:spPr>
            <a:xfrm>
              <a:off x="18675429" y="839390"/>
              <a:ext cx="340757" cy="27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a</a:t>
              </a:r>
            </a:p>
          </xdr:txBody>
        </xdr: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EDC937CC-3081-0954-DD80-98BA6B22434C}"/>
              </a:ext>
            </a:extLst>
          </xdr:cNvPr>
          <xdr:cNvGrpSpPr/>
        </xdr:nvGrpSpPr>
        <xdr:grpSpPr>
          <a:xfrm>
            <a:off x="21394250" y="785813"/>
            <a:ext cx="3215005" cy="3025626"/>
            <a:chOff x="21496165" y="785813"/>
            <a:chExt cx="3215005" cy="3025626"/>
          </a:xfrm>
        </xdr:grpSpPr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8909C32C-1189-4F86-FC52-CE5AF6319F6C}"/>
                </a:ext>
              </a:extLst>
            </xdr:cNvPr>
            <xdr:cNvGraphicFramePr>
              <a:graphicFrameLocks/>
            </xdr:cNvGraphicFramePr>
          </xdr:nvGraphicFramePr>
          <xdr:xfrm>
            <a:off x="21496165" y="785813"/>
            <a:ext cx="3215005" cy="302562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A869EEEC-F944-5893-9B71-1C2ACBB72291}"/>
                </a:ext>
              </a:extLst>
            </xdr:cNvPr>
            <xdr:cNvSpPr txBox="1"/>
          </xdr:nvSpPr>
          <xdr:spPr>
            <a:xfrm>
              <a:off x="22010595" y="835580"/>
              <a:ext cx="371237" cy="2738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" sz="1400" b="1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588823</xdr:colOff>
      <xdr:row>5</xdr:row>
      <xdr:rowOff>172063</xdr:rowOff>
    </xdr:from>
    <xdr:to>
      <xdr:col>29</xdr:col>
      <xdr:colOff>157704</xdr:colOff>
      <xdr:row>22</xdr:row>
      <xdr:rowOff>116017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4AC802-9606-4943-A580-8E72C39C5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0.32051</cdr:y>
    </cdr:from>
    <cdr:to>
      <cdr:x>0.0705</cdr:x>
      <cdr:y>0.55932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CuadroTexto 1">
              <a:extLst xmlns:a="http://schemas.openxmlformats.org/drawingml/2006/main">
                <a:ext uri="{FF2B5EF4-FFF2-40B4-BE49-F238E27FC236}">
                  <a16:creationId xmlns:a16="http://schemas.microsoft.com/office/drawing/2014/main" id="{2FB2DF2E-A36E-4285-11DD-152547F550D0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-253985" y="1240573"/>
              <a:ext cx="735121" cy="2271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s-ES" sz="900" b="0" i="1">
                            <a:latin typeface="Cambria Math" panose="02040503050406030204" pitchFamily="18" charset="0"/>
                            <a:cs typeface="Arial" panose="020B0604020202020204" pitchFamily="34" charset="0"/>
                          </a:rPr>
                        </m:ctrlPr>
                      </m:accPr>
                      <m:e>
                        <m:r>
                          <m:rPr>
                            <m:nor/>
                          </m:rPr>
                          <a:rPr lang="es-ES" sz="900" b="0" i="0">
                            <a:latin typeface="Arial" panose="020B0604020202020204" pitchFamily="34" charset="0"/>
                            <a:cs typeface="Arial" panose="020B0604020202020204" pitchFamily="34" charset="0"/>
                          </a:rPr>
                          <m:t>L</m:t>
                        </m:r>
                      </m:e>
                    </m:acc>
                    <m:r>
                      <m:rPr>
                        <m:nor/>
                      </m:rPr>
                      <a:rPr lang="es-ES" sz="900" b="0" i="0">
                        <a:latin typeface="Arial" panose="020B0604020202020204" pitchFamily="34" charset="0"/>
                        <a:cs typeface="Arial" panose="020B0604020202020204" pitchFamily="34" charset="0"/>
                      </a:rPr>
                      <m:t> </m:t>
                    </m:r>
                    <m:d>
                      <m:dPr>
                        <m:ctrlPr>
                          <a:rPr lang="es-ES" sz="900" b="0" i="1">
                            <a:latin typeface="Cambria Math" panose="02040503050406030204" pitchFamily="18" charset="0"/>
                            <a:cs typeface="Arial" panose="020B0604020202020204" pitchFamily="34" charset="0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es-ES" sz="900" b="0" i="1">
                                <a:latin typeface="Cambria Math" panose="02040503050406030204" pitchFamily="18" charset="0"/>
                                <a:cs typeface="Arial" panose="020B0604020202020204" pitchFamily="34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s-ES" sz="900" b="0" i="0">
                                <a:latin typeface="Arial" panose="020B0604020202020204" pitchFamily="34" charset="0"/>
                                <a:cs typeface="Arial" panose="020B0604020202020204" pitchFamily="34" charset="0"/>
                              </a:rPr>
                              <m:t>kJ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s-ES" sz="900" b="0" i="0">
                                <a:latin typeface="Arial" panose="020B0604020202020204" pitchFamily="34" charset="0"/>
                                <a:cs typeface="Arial" panose="020B0604020202020204" pitchFamily="34" charset="0"/>
                              </a:rPr>
                              <m:t>kg</m:t>
                            </m:r>
                          </m:den>
                        </m:f>
                      </m:e>
                    </m:d>
                    <m:r>
                      <a:rPr lang="es-ES" sz="900" b="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 </m:t>
                    </m:r>
                  </m:oMath>
                </m:oMathPara>
              </a14:m>
              <a:endParaRPr lang="es-ES" sz="900">
                <a:latin typeface="Aptos Display" panose="020B0004020202020204" pitchFamily="34" charset="0"/>
                <a:cs typeface="Arial" panose="020B0604020202020204" pitchFamily="34" charset="0"/>
              </a:endParaRPr>
            </a:p>
          </cdr:txBody>
        </cdr:sp>
      </mc:Choice>
      <mc:Fallback xmlns="">
        <cdr:sp macro="" textlink="">
          <cdr:nvSpPr>
            <cdr:cNvPr id="2" name="CuadroTexto 1">
              <a:extLst xmlns:a="http://schemas.openxmlformats.org/drawingml/2006/main">
                <a:ext uri="{FF2B5EF4-FFF2-40B4-BE49-F238E27FC236}">
                  <a16:creationId xmlns:a16="http://schemas.microsoft.com/office/drawing/2014/main" id="{2FB2DF2E-A36E-4285-11DD-152547F550D0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-253985" y="1240573"/>
              <a:ext cx="735121" cy="2271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pPr/>
              <a:r>
                <a:rPr lang="es-ES" sz="900" b="0" i="0">
                  <a:latin typeface="Arial" panose="020B0604020202020204" pitchFamily="34" charset="0"/>
                  <a:cs typeface="Arial" panose="020B0604020202020204" pitchFamily="34" charset="0"/>
                </a:rPr>
                <a:t>"L</a:t>
              </a:r>
              <a:r>
                <a:rPr lang="es-ES" sz="900" b="0" i="0">
                  <a:latin typeface="Cambria Math" panose="02040503050406030204" pitchFamily="18" charset="0"/>
                  <a:cs typeface="Arial" panose="020B0604020202020204" pitchFamily="34" charset="0"/>
                </a:rPr>
                <a:t>"  ̂" " ("</a:t>
              </a:r>
              <a:r>
                <a:rPr lang="es-ES" sz="900" b="0" i="0">
                  <a:latin typeface="Arial" panose="020B0604020202020204" pitchFamily="34" charset="0"/>
                  <a:cs typeface="Arial" panose="020B0604020202020204" pitchFamily="34" charset="0"/>
                </a:rPr>
                <a:t>kJ</a:t>
              </a:r>
              <a:r>
                <a:rPr lang="es-ES" sz="900" b="0" i="0">
                  <a:latin typeface="Cambria Math" panose="02040503050406030204" pitchFamily="18" charset="0"/>
                  <a:cs typeface="Arial" panose="020B0604020202020204" pitchFamily="34" charset="0"/>
                </a:rPr>
                <a:t>" ∕"</a:t>
              </a:r>
              <a:r>
                <a:rPr lang="es-ES" sz="900" b="0" i="0">
                  <a:latin typeface="Arial" panose="020B0604020202020204" pitchFamily="34" charset="0"/>
                  <a:cs typeface="Arial" panose="020B0604020202020204" pitchFamily="34" charset="0"/>
                </a:rPr>
                <a:t>kg</a:t>
              </a:r>
              <a:r>
                <a:rPr lang="es-ES" sz="900" b="0" i="0">
                  <a:latin typeface="Cambria Math" panose="02040503050406030204" pitchFamily="18" charset="0"/>
                  <a:cs typeface="Arial" panose="020B0604020202020204" pitchFamily="34" charset="0"/>
                </a:rPr>
                <a:t>" )  </a:t>
              </a:r>
              <a:endParaRPr lang="es-ES" sz="900">
                <a:latin typeface="Aptos Display" panose="020B0004020202020204" pitchFamily="34" charset="0"/>
                <a:cs typeface="Arial" panose="020B0604020202020204" pitchFamily="34" charset="0"/>
              </a:endParaRPr>
            </a:p>
          </cdr:txBody>
        </cdr:sp>
      </mc:Fallback>
    </mc:AlternateContent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oviedo.sharepoint.com/sites/GICONSIME/Documentos%20compartidos/ARTICULOS/00_ARTICULOS-DE-GICONSIME_PREVIOS/2024-11_PCM_Areas/02_Calculos_Modelo_Predictivo/03_Estimacion_Calor_Latente.xlsx" TargetMode="External"/><Relationship Id="rId1" Type="http://schemas.openxmlformats.org/officeDocument/2006/relationships/externalLinkPath" Target="/sites/GICONSIME/Documentos%20compartidos/ARTICULOS/00_ARTICULOS-DE-GICONSIME_PREVIOS/2024-11_PCM_Areas/02_Calculos_Modelo_Predictivo/03_Estimacion_Calor_Laten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oviedo.sharepoint.com/sites/GICONSIME/Documentos%20compartidos/ARTICULOS/00_ARTICULOS-DE-GICONSIME_PREVIOS/2024-11_PCM_Areas/data/dataset.xlsx" TargetMode="External"/><Relationship Id="rId1" Type="http://schemas.openxmlformats.org/officeDocument/2006/relationships/externalLinkPath" Target="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acion con catalogo"/>
      <sheetName val="Modelo predictivo"/>
    </sheetNames>
    <sheetDataSet>
      <sheetData sheetId="0" refreshError="1"/>
      <sheetData sheetId="1">
        <row r="6">
          <cell r="Z6" t="str">
            <v>Error = ± 10 %</v>
          </cell>
          <cell r="AA6" t="str">
            <v>Error = ± 20 %</v>
          </cell>
          <cell r="AB6" t="str">
            <v>Error = - 10 %</v>
          </cell>
          <cell r="AC6" t="str">
            <v>Error = - 20 %</v>
          </cell>
        </row>
        <row r="7"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J8">
            <v>56.719014556235237</v>
          </cell>
          <cell r="K8">
            <v>50.166952879494339</v>
          </cell>
          <cell r="U8">
            <v>75.024457874999953</v>
          </cell>
          <cell r="V8">
            <v>73.99803454529156</v>
          </cell>
          <cell r="X8">
            <v>200</v>
          </cell>
          <cell r="Y8">
            <v>200</v>
          </cell>
          <cell r="Z8">
            <v>220.00000000000003</v>
          </cell>
          <cell r="AA8">
            <v>240</v>
          </cell>
          <cell r="AB8">
            <v>180</v>
          </cell>
          <cell r="AC8">
            <v>160</v>
          </cell>
        </row>
        <row r="9">
          <cell r="J9">
            <v>69.099508039681865</v>
          </cell>
          <cell r="K9">
            <v>74.591304828691378</v>
          </cell>
          <cell r="U9">
            <v>81.501033373479387</v>
          </cell>
          <cell r="V9">
            <v>79.790052635118897</v>
          </cell>
        </row>
        <row r="10">
          <cell r="J10">
            <v>58.014708759842698</v>
          </cell>
          <cell r="K10">
            <v>50.655256661280369</v>
          </cell>
          <cell r="U10">
            <v>167.42186143385257</v>
          </cell>
          <cell r="V10">
            <v>153.05134735756909</v>
          </cell>
        </row>
        <row r="11">
          <cell r="J11">
            <v>77.087223529409982</v>
          </cell>
          <cell r="K11">
            <v>73.229503258297655</v>
          </cell>
          <cell r="U11">
            <v>82.962082142286576</v>
          </cell>
          <cell r="V11">
            <v>77.876166694801611</v>
          </cell>
        </row>
        <row r="12">
          <cell r="J12">
            <v>53.946762352941192</v>
          </cell>
          <cell r="K12">
            <v>45.296921342856074</v>
          </cell>
          <cell r="U12">
            <v>114.60137294117648</v>
          </cell>
          <cell r="V12">
            <v>112.25250483502327</v>
          </cell>
        </row>
        <row r="13">
          <cell r="J13">
            <v>175.64975208847059</v>
          </cell>
          <cell r="K13">
            <v>158.79789506066936</v>
          </cell>
          <cell r="U13">
            <v>117.31237721338384</v>
          </cell>
          <cell r="V13">
            <v>115.54565576814524</v>
          </cell>
        </row>
        <row r="14">
          <cell r="J14">
            <v>69.131279265421043</v>
          </cell>
          <cell r="K14">
            <v>75.019022216102968</v>
          </cell>
          <cell r="U14">
            <v>82.216204132997078</v>
          </cell>
          <cell r="V14">
            <v>83.984199520996043</v>
          </cell>
        </row>
        <row r="15">
          <cell r="J15">
            <v>58.511350588235246</v>
          </cell>
          <cell r="K15">
            <v>58.386422271169486</v>
          </cell>
          <cell r="U15">
            <v>59.118350229750966</v>
          </cell>
          <cell r="V15">
            <v>64.525599858718977</v>
          </cell>
        </row>
        <row r="16">
          <cell r="J16">
            <v>50.584677167555377</v>
          </cell>
          <cell r="K16">
            <v>60.803935848711646</v>
          </cell>
          <cell r="U16">
            <v>74.162206970735241</v>
          </cell>
          <cell r="V16">
            <v>76.486353542819373</v>
          </cell>
        </row>
        <row r="17">
          <cell r="J17">
            <v>61.229536152376859</v>
          </cell>
          <cell r="K17">
            <v>60.680169447249824</v>
          </cell>
          <cell r="U17">
            <v>80.013862376815268</v>
          </cell>
          <cell r="V17">
            <v>80.629571863476698</v>
          </cell>
        </row>
        <row r="18">
          <cell r="J18">
            <v>69.269575347451067</v>
          </cell>
          <cell r="K18">
            <v>73.84773157965428</v>
          </cell>
          <cell r="U18">
            <v>67.50908575863744</v>
          </cell>
          <cell r="V18">
            <v>65.781598636918204</v>
          </cell>
        </row>
        <row r="19">
          <cell r="J19">
            <v>81.325750073648678</v>
          </cell>
          <cell r="K19">
            <v>83.311763815303649</v>
          </cell>
          <cell r="U19">
            <v>85.84570189933504</v>
          </cell>
          <cell r="V19">
            <v>91.957884108114243</v>
          </cell>
        </row>
        <row r="20">
          <cell r="J20">
            <v>177.58134007385317</v>
          </cell>
          <cell r="K20">
            <v>163.23718508230667</v>
          </cell>
          <cell r="U20">
            <v>49.602384113526554</v>
          </cell>
          <cell r="V20">
            <v>51.131989980684516</v>
          </cell>
        </row>
        <row r="21">
          <cell r="J21">
            <v>81.946425131922041</v>
          </cell>
          <cell r="K21">
            <v>87.906376085727075</v>
          </cell>
          <cell r="U21">
            <v>70.763008869779881</v>
          </cell>
          <cell r="V21">
            <v>71.860288951452247</v>
          </cell>
        </row>
        <row r="22">
          <cell r="J22">
            <v>71.775063000983835</v>
          </cell>
          <cell r="K22">
            <v>67.82033139287951</v>
          </cell>
          <cell r="U22">
            <v>84.659494736842063</v>
          </cell>
          <cell r="V22">
            <v>82.167897827749059</v>
          </cell>
        </row>
        <row r="23">
          <cell r="J23">
            <v>165.60922596053391</v>
          </cell>
          <cell r="K23">
            <v>170.09936683534039</v>
          </cell>
          <cell r="U23">
            <v>78.275898632367941</v>
          </cell>
          <cell r="V23">
            <v>79.473937333390836</v>
          </cell>
        </row>
        <row r="24">
          <cell r="J24">
            <v>168.49309139660087</v>
          </cell>
          <cell r="K24">
            <v>143.32390398693562</v>
          </cell>
          <cell r="U24">
            <v>98.414969093777017</v>
          </cell>
          <cell r="V24">
            <v>103.73665792325453</v>
          </cell>
        </row>
        <row r="25">
          <cell r="J25">
            <v>158.01273309973627</v>
          </cell>
          <cell r="K25">
            <v>175.81944485371255</v>
          </cell>
          <cell r="U25">
            <v>176.04177882353099</v>
          </cell>
          <cell r="V25">
            <v>148.3139045345612</v>
          </cell>
        </row>
        <row r="26">
          <cell r="J26">
            <v>164.33006477459486</v>
          </cell>
          <cell r="K26">
            <v>177.56190275258101</v>
          </cell>
        </row>
        <row r="27">
          <cell r="J27">
            <v>85.685027094833018</v>
          </cell>
          <cell r="K27">
            <v>83.581236475859058</v>
          </cell>
        </row>
        <row r="28">
          <cell r="J28">
            <v>123.05481882352942</v>
          </cell>
          <cell r="K28">
            <v>123.95862593911392</v>
          </cell>
        </row>
        <row r="29">
          <cell r="J29">
            <v>167.38087764705881</v>
          </cell>
          <cell r="K29">
            <v>145.62508177757508</v>
          </cell>
        </row>
        <row r="30">
          <cell r="J30">
            <v>76.333161176469858</v>
          </cell>
          <cell r="K30">
            <v>86.997055142713108</v>
          </cell>
        </row>
        <row r="31">
          <cell r="J31">
            <v>158.48461348019299</v>
          </cell>
          <cell r="K31">
            <v>175.35184734420011</v>
          </cell>
        </row>
        <row r="32">
          <cell r="J32">
            <v>67.991751569271727</v>
          </cell>
          <cell r="K32">
            <v>66.788158714522822</v>
          </cell>
        </row>
        <row r="33">
          <cell r="J33">
            <v>74.141575529733501</v>
          </cell>
          <cell r="K33">
            <v>74.447457635407005</v>
          </cell>
        </row>
        <row r="34">
          <cell r="J34">
            <v>64.629346212761021</v>
          </cell>
          <cell r="K34">
            <v>63.485702811954162</v>
          </cell>
        </row>
        <row r="35">
          <cell r="J35">
            <v>139.3152947968284</v>
          </cell>
          <cell r="K35">
            <v>144.7316013259522</v>
          </cell>
        </row>
        <row r="36">
          <cell r="J36">
            <v>84.527868748769848</v>
          </cell>
          <cell r="K36">
            <v>84.704779651651648</v>
          </cell>
        </row>
        <row r="37">
          <cell r="J37">
            <v>43.226137847686353</v>
          </cell>
          <cell r="K37">
            <v>45.026576961112163</v>
          </cell>
        </row>
        <row r="38">
          <cell r="J38">
            <v>117.31237721338384</v>
          </cell>
          <cell r="K38">
            <v>115.54565576814524</v>
          </cell>
        </row>
        <row r="39">
          <cell r="J39">
            <v>168.78402986881159</v>
          </cell>
          <cell r="K39">
            <v>163.35787374585252</v>
          </cell>
        </row>
        <row r="40">
          <cell r="J40">
            <v>78.602304705882105</v>
          </cell>
          <cell r="K40">
            <v>82.99304734162412</v>
          </cell>
        </row>
        <row r="41">
          <cell r="J41">
            <v>53.017263529411473</v>
          </cell>
          <cell r="K41">
            <v>52.589865965425794</v>
          </cell>
        </row>
        <row r="42">
          <cell r="J42">
            <v>92.93890209649193</v>
          </cell>
          <cell r="K42">
            <v>95.782178509295434</v>
          </cell>
        </row>
        <row r="43">
          <cell r="J43">
            <v>77.087223529409982</v>
          </cell>
          <cell r="K43">
            <v>73.229503258297655</v>
          </cell>
        </row>
        <row r="44">
          <cell r="J44">
            <v>83.719009855646561</v>
          </cell>
          <cell r="K44">
            <v>78.64896137321972</v>
          </cell>
        </row>
        <row r="45">
          <cell r="J45">
            <v>65.317349749977026</v>
          </cell>
          <cell r="K45">
            <v>73.689399688558979</v>
          </cell>
        </row>
        <row r="46">
          <cell r="J46">
            <v>56.286252103947298</v>
          </cell>
          <cell r="K46">
            <v>59.982387656916863</v>
          </cell>
        </row>
        <row r="47">
          <cell r="J47">
            <v>42.851628620329002</v>
          </cell>
          <cell r="K47">
            <v>43.444442953403104</v>
          </cell>
        </row>
        <row r="48">
          <cell r="J48">
            <v>60.73904284393474</v>
          </cell>
          <cell r="K48">
            <v>61.853420019074726</v>
          </cell>
        </row>
        <row r="49">
          <cell r="J49">
            <v>42.82212705882371</v>
          </cell>
          <cell r="K49">
            <v>50.573248897767854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erimental data - 1 ºCh"/>
      <sheetName val="Experimental data - 0.5 ºCh"/>
      <sheetName val="Phase change delimitation"/>
    </sheetNames>
    <sheetDataSet>
      <sheetData sheetId="0" refreshError="1"/>
      <sheetData sheetId="1" refreshError="1"/>
      <sheetData sheetId="2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1" xr16:uid="{0E79B1B8-1336-4413-8645-5EBA43E60750}" autoFormatId="16" applyNumberFormats="0" applyBorderFormats="0" applyFontFormats="0" applyPatternFormats="0" applyAlignmentFormats="0" applyWidthHeightFormats="0">
  <queryTableRefresh nextId="12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3" xr16:uid="{D6A2B453-0786-4533-B22B-817DE5C37500}" autoFormatId="16" applyNumberFormats="0" applyBorderFormats="0" applyFontFormats="0" applyPatternFormats="0" applyAlignmentFormats="0" applyWidthHeightFormats="0">
  <queryTableRefresh nextId="12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4" xr16:uid="{2C769136-E545-4B4E-A8D5-AB23740233CB}" autoFormatId="16" applyNumberFormats="0" applyBorderFormats="0" applyFontFormats="0" applyPatternFormats="0" applyAlignmentFormats="0" applyWidthHeightFormats="0">
  <queryTableRefresh nextId="12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5" xr16:uid="{51602283-81F5-4651-B418-A48F04B83E99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6" xr16:uid="{7D16FB3E-C799-4BED-BB5C-81E450722DD7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7" xr16:uid="{C319DF93-B8BB-4E96-A342-300B35B5BEDF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8" xr16:uid="{91F5E5E1-30F9-45E7-9F2E-3D5007D2E8EC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9" xr16:uid="{6BEEAE4E-0D78-4537-BCBB-CB1C05960991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0" xr16:uid="{353FE161-4C44-4CC6-86B7-3541834569F4}" autoFormatId="16" applyNumberFormats="0" applyBorderFormats="0" applyFontFormats="0" applyPatternFormats="0" applyAlignmentFormats="0" applyWidthHeightFormats="0">
  <queryTableRefresh nextId="14" unboundColumnsRight="2">
    <queryTableFields count="10">
      <queryTableField id="1" name="PCM" tableColumnId="1"/>
      <queryTableField id="2" name="L" tableColumnId="2"/>
      <queryTableField id="3" name="Process" tableColumnId="3"/>
      <queryTableField id="4" name="α" tableColumnId="4"/>
      <queryTableField id="5" name="Test" tableColumnId="5"/>
      <queryTableField id="6" name="A_T" tableColumnId="6"/>
      <queryTableField id="7" name="A_q" tableColumnId="7"/>
      <queryTableField id="8" name="A_T/A_q" tableColumnId="8"/>
      <queryTableField id="9" dataBound="0" tableColumnId="9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8702F62-1B74-429B-91EC-A0DB2B484C98}" name="Data_T1" displayName="Data_T1" ref="A21:J57" tableType="queryTable" totalsRowShown="0" headerRowDxfId="170" dataDxfId="169">
  <autoFilter ref="A21:J57" xr:uid="{AABB9CA2-6E6B-4DA8-AEDF-B33398BB3436}"/>
  <sortState xmlns:xlrd2="http://schemas.microsoft.com/office/spreadsheetml/2017/richdata2" ref="A22:J57">
    <sortCondition ref="J21:J57"/>
  </sortState>
  <tableColumns count="10">
    <tableColumn id="1" xr3:uid="{57D2829C-5DF9-49C3-833E-E98F8277B5A2}" uniqueName="1" name="PCM" queryTableFieldId="1" dataDxfId="168"/>
    <tableColumn id="2" xr3:uid="{2CC29B44-7A7D-4E5F-A0B0-710A175D9159}" uniqueName="2" name="L" queryTableFieldId="2" dataDxfId="167"/>
    <tableColumn id="3" xr3:uid="{8B562918-4E18-4018-A6EF-21A600B5945C}" uniqueName="3" name="Process" queryTableFieldId="3" dataDxfId="166"/>
    <tableColumn id="4" xr3:uid="{A2E9EF53-DE45-4696-96EB-F6F465C6BA62}" uniqueName="4" name="α" queryTableFieldId="4" dataDxfId="165"/>
    <tableColumn id="5" xr3:uid="{C2897CBE-9ED9-4B93-832C-7A3D814ACAAA}" uniqueName="5" name="Test" queryTableFieldId="5" dataDxfId="164"/>
    <tableColumn id="6" xr3:uid="{56BDC223-28A2-4120-B6AB-9F6A2AD09F10}" uniqueName="6" name="A_T" queryTableFieldId="6" dataDxfId="163"/>
    <tableColumn id="7" xr3:uid="{2BFBE9F5-0D28-468B-A0A9-FF6236CDCCC3}" uniqueName="7" name="A_q" queryTableFieldId="7" dataDxfId="162"/>
    <tableColumn id="8" xr3:uid="{676ABF0F-A114-480C-A1FA-BCFA826D9BAF}" uniqueName="8" name="A_T/A_q" queryTableFieldId="8" dataDxfId="161"/>
    <tableColumn id="9" xr3:uid="{E1EF2709-43C3-489A-88B0-258441669E67}" uniqueName="9" name="T / V" queryTableFieldId="9" dataDxfId="160">
      <calculatedColumnFormula>IF(ROWS($I$22:I22)&lt;=n_T,"Training","Validation")</calculatedColumnFormula>
    </tableColumn>
    <tableColumn id="10" xr3:uid="{AB3C8AE0-A9CE-4466-A5D7-AC5990F4F572}" uniqueName="10" name="Sort" queryTableFieldId="10" dataDxfId="159">
      <calculatedColumnFormula>RAND()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A459000-7490-475A-9068-8B6E8CDFDE68}" name="Estimates_T1" displayName="Estimates_T1" ref="O21:R57" totalsRowShown="0" headerRowDxfId="158" dataDxfId="157">
  <autoFilter ref="O21:R57" xr:uid="{6047FBD0-9058-4646-A1F3-BFA2E0DCB6AD}"/>
  <tableColumns count="4">
    <tableColumn id="1" xr3:uid="{3077DF67-477A-4F7C-BC42-07A2FA214AA9}" name="A_q measured" dataDxfId="156">
      <calculatedColumnFormula>Data_T1[[#This Row],[A_q]]</calculatedColumnFormula>
    </tableColumn>
    <tableColumn id="2" xr3:uid="{C5BB2787-43B1-4AEC-8254-4A0E77D22D6D}" name="A_q predicted (b=0)" dataDxfId="155">
      <calculatedColumnFormula>Data_T1[[#This Row],[A_T]]*$C$11</calculatedColumnFormula>
    </tableColumn>
    <tableColumn id="4" xr3:uid="{4F4C2B48-6644-47B6-80C2-78D49C091ED6}" name="T / V" dataDxfId="154">
      <calculatedColumnFormula>Data_T1[[#This Row],[T / V]]</calculatedColumnFormula>
    </tableColumn>
    <tableColumn id="5" xr3:uid="{31935D18-CB69-460D-9CD9-688A3791BBC9}" name="Error" dataDxfId="153">
      <calculatedColumnFormula>ABS((Estimates_T1[[#This Row],[A_q predicted (b=0)]]-Estimates_T1[[#This Row],[A_q measured]])/Estimates_T1[[#This Row],[A_q measured]])*100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CEF7688-A3C0-4427-936C-BAABF4A9AE1D}" name="Data_T2" displayName="Data_T2" ref="A21:J57" tableType="queryTable" totalsRowShown="0" headerRowDxfId="152" dataDxfId="151">
  <autoFilter ref="A21:J57" xr:uid="{AABB9CA2-6E6B-4DA8-AEDF-B33398BB3436}"/>
  <sortState xmlns:xlrd2="http://schemas.microsoft.com/office/spreadsheetml/2017/richdata2" ref="A22:J57">
    <sortCondition ref="J21:J57"/>
  </sortState>
  <tableColumns count="10">
    <tableColumn id="1" xr3:uid="{258888D3-8A4D-49C4-A31F-FDB2986B8EC8}" uniqueName="1" name="PCM" queryTableFieldId="1" dataDxfId="150"/>
    <tableColumn id="2" xr3:uid="{15CF1C33-B61F-4FBB-AA49-15A6C46AFB58}" uniqueName="2" name="L" queryTableFieldId="2" dataDxfId="149"/>
    <tableColumn id="3" xr3:uid="{2FB81F1D-6A05-4B46-BB32-B06C96527CF2}" uniqueName="3" name="Process" queryTableFieldId="3" dataDxfId="148"/>
    <tableColumn id="4" xr3:uid="{70F99C0F-9678-41F6-AF12-59EC8ACBD644}" uniqueName="4" name="α" queryTableFieldId="4" dataDxfId="147"/>
    <tableColumn id="5" xr3:uid="{717A26B4-1862-49F5-9566-2A4F416523EA}" uniqueName="5" name="Test" queryTableFieldId="5" dataDxfId="146"/>
    <tableColumn id="6" xr3:uid="{EEED1C45-80AA-4BF7-8E19-907A638306EE}" uniqueName="6" name="A_T" queryTableFieldId="6" dataDxfId="145"/>
    <tableColumn id="7" xr3:uid="{580ECC77-9E4E-43FA-8625-0D4E9A44C55E}" uniqueName="7" name="A_q" queryTableFieldId="7" dataDxfId="144"/>
    <tableColumn id="8" xr3:uid="{5676AE52-F034-4839-A572-A86C5E562CEF}" uniqueName="8" name="A_T/A_q" queryTableFieldId="8" dataDxfId="143"/>
    <tableColumn id="9" xr3:uid="{793500FB-71F9-4C21-B95F-7D430B3CB9E3}" uniqueName="9" name="T / V" queryTableFieldId="9" dataDxfId="142">
      <calculatedColumnFormula>IF(ROWS($I$22:I22)&lt;=n_T,"Training","Validation")</calculatedColumnFormula>
    </tableColumn>
    <tableColumn id="10" xr3:uid="{3F042A05-571A-4761-A964-AF8750327B75}" uniqueName="10" name="Sort" queryTableFieldId="10" dataDxfId="141">
      <calculatedColumnFormula>RAND()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EAE5E58-A047-429F-BED3-473E038EC759}" name="Estimates_T2" displayName="Estimates_T2" ref="O21:R57" totalsRowShown="0" headerRowDxfId="140" dataDxfId="139">
  <autoFilter ref="O21:R57" xr:uid="{6047FBD0-9058-4646-A1F3-BFA2E0DCB6AD}"/>
  <tableColumns count="4">
    <tableColumn id="1" xr3:uid="{1AFF6646-CDF1-4047-A22D-1C376CDCE423}" name="A_q measured" dataDxfId="138">
      <calculatedColumnFormula>Data_T2[[#This Row],[A_q]]</calculatedColumnFormula>
    </tableColumn>
    <tableColumn id="2" xr3:uid="{0E4139C6-6182-4961-AE37-B1454F4B5B1F}" name="A_q predicted (b=0)" dataDxfId="137">
      <calculatedColumnFormula>Data_T2[[#This Row],[A_T]]*$C$11</calculatedColumnFormula>
    </tableColumn>
    <tableColumn id="4" xr3:uid="{6BD3184D-0CAE-442A-B274-D76560E37095}" name="T / V" dataDxfId="136">
      <calculatedColumnFormula>Data_T2[[#This Row],[T / V]]</calculatedColumnFormula>
    </tableColumn>
    <tableColumn id="5" xr3:uid="{373A490E-3D43-4A11-AA27-9E1E8615C00C}" name="Error" dataDxfId="135">
      <calculatedColumnFormula>ABS((Estimates_T2[[#This Row],[A_q predicted (b=0)]]-Estimates_T2[[#This Row],[A_q measured]])/Estimates_T2[[#This Row],[A_q measured]])*100</calculatedColumnFormula>
    </tableColumn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7BFE740-7C2C-423F-915C-272B2199C9AC}" name="Data_T3" displayName="Data_T3" ref="A21:J57" tableType="queryTable" totalsRowShown="0" headerRowDxfId="134" dataDxfId="133">
  <autoFilter ref="A21:J57" xr:uid="{AABB9CA2-6E6B-4DA8-AEDF-B33398BB3436}"/>
  <sortState xmlns:xlrd2="http://schemas.microsoft.com/office/spreadsheetml/2017/richdata2" ref="A22:J57">
    <sortCondition ref="J21:J57"/>
  </sortState>
  <tableColumns count="10">
    <tableColumn id="1" xr3:uid="{BF4DCF60-2784-4608-B03A-F646A98071AD}" uniqueName="1" name="PCM" queryTableFieldId="1" dataDxfId="132"/>
    <tableColumn id="2" xr3:uid="{9645E0C7-5AD8-4E08-B4F8-BE02AFD0B6A5}" uniqueName="2" name="L" queryTableFieldId="2" dataDxfId="131"/>
    <tableColumn id="3" xr3:uid="{89C89771-383D-4BB6-845E-A3162085F3F6}" uniqueName="3" name="Process" queryTableFieldId="3" dataDxfId="130"/>
    <tableColumn id="4" xr3:uid="{04A6F798-2328-40ED-AC72-6510CAFB247B}" uniqueName="4" name="α" queryTableFieldId="4" dataDxfId="129"/>
    <tableColumn id="5" xr3:uid="{0142C67A-B909-4C6A-9942-CBB1CEA1EFD9}" uniqueName="5" name="Test" queryTableFieldId="5" dataDxfId="128"/>
    <tableColumn id="6" xr3:uid="{0A9EBE9F-A5D7-4FD1-B85D-5CF90112E434}" uniqueName="6" name="A_T" queryTableFieldId="6" dataDxfId="127"/>
    <tableColumn id="7" xr3:uid="{81FA8A63-F4F1-47F1-9538-C9DFFC09F84E}" uniqueName="7" name="A_q" queryTableFieldId="7" dataDxfId="126"/>
    <tableColumn id="8" xr3:uid="{83F1C045-C8CA-48E8-BC17-DED3D10C1031}" uniqueName="8" name="A_T/A_q" queryTableFieldId="8" dataDxfId="125"/>
    <tableColumn id="9" xr3:uid="{9EE36E34-81EC-438D-8DA2-0BC5B459025A}" uniqueName="9" name="T / V" queryTableFieldId="9" dataDxfId="124">
      <calculatedColumnFormula>IF(ROWS($I$22:I22)&lt;=n_T,"Training","Validation")</calculatedColumnFormula>
    </tableColumn>
    <tableColumn id="10" xr3:uid="{53ED2526-0927-4D2A-8216-4119F2603114}" uniqueName="10" name="Sort" queryTableFieldId="10" dataDxfId="123">
      <calculatedColumnFormula>RAND()</calculatedColumnFormula>
    </tableColumn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C54FB12-A99A-4BCF-A1E8-37969F0CDF89}" name="Estimates_T3" displayName="Estimates_T3" ref="O21:R57" totalsRowShown="0" headerRowDxfId="122" dataDxfId="121">
  <autoFilter ref="O21:R57" xr:uid="{6047FBD0-9058-4646-A1F3-BFA2E0DCB6AD}"/>
  <tableColumns count="4">
    <tableColumn id="1" xr3:uid="{19641957-FB0B-4E99-A8FC-4BAA94BF6C2A}" name="A_q measured" dataDxfId="120">
      <calculatedColumnFormula>Data_T3[[#This Row],[A_q]]</calculatedColumnFormula>
    </tableColumn>
    <tableColumn id="2" xr3:uid="{9BF711D3-21EF-40E7-9F0B-E9EAFDBAD7B7}" name="A_q predicted (b=0)" dataDxfId="119">
      <calculatedColumnFormula>Data_T3[[#This Row],[A_T]]*$C$11</calculatedColumnFormula>
    </tableColumn>
    <tableColumn id="4" xr3:uid="{6E6F7B43-EC84-4589-88DE-2C16844A2BA6}" name="T / V" dataDxfId="118">
      <calculatedColumnFormula>Data_T3[[#This Row],[T / V]]</calculatedColumnFormula>
    </tableColumn>
    <tableColumn id="5" xr3:uid="{E8648D16-FFE2-4B86-B025-841012D98584}" name="Error" dataDxfId="117">
      <calculatedColumnFormula>ABS((Estimates_T3[[#This Row],[A_q predicted (b=0)]]-Estimates_T3[[#This Row],[A_q measured]])/Estimates_T3[[#This Row],[A_q measured]])*100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2E8478-802E-4832-A419-E00BB72865A6}" name="Data_Effect_m_L" displayName="Data_Effect_m_L" ref="A22:J82" tableType="queryTable" totalsRowShown="0" headerRowDxfId="116" dataDxfId="115">
  <autoFilter ref="A22:J82" xr:uid="{AABB9CA2-6E6B-4DA8-AEDF-B33398BB3436}"/>
  <sortState xmlns:xlrd2="http://schemas.microsoft.com/office/spreadsheetml/2017/richdata2" ref="A23:J70">
    <sortCondition ref="J22:J70"/>
  </sortState>
  <tableColumns count="10">
    <tableColumn id="1" xr3:uid="{D71E7593-2A92-463E-814D-88C7E5A2EB6A}" uniqueName="1" name="PCM" queryTableFieldId="1" dataDxfId="114"/>
    <tableColumn id="2" xr3:uid="{F8910362-ED9A-4C2A-B386-E388E137514D}" uniqueName="2" name="L" queryTableFieldId="2" dataDxfId="113"/>
    <tableColumn id="3" xr3:uid="{969AC09B-A7E6-4C96-A58A-5DDE7AE6B8F1}" uniqueName="3" name="Process" queryTableFieldId="3" dataDxfId="112"/>
    <tableColumn id="4" xr3:uid="{FBBF5DB8-C4FC-4738-9E0C-575CAF3D7E6B}" uniqueName="4" name="α" queryTableFieldId="4" dataDxfId="111"/>
    <tableColumn id="5" xr3:uid="{0FCFDD51-6C86-40EC-9A29-9CC22DE8D782}" uniqueName="5" name="Test" queryTableFieldId="5" dataDxfId="110"/>
    <tableColumn id="6" xr3:uid="{9EB5E388-7B18-43B9-85B8-3B4C4A51D952}" uniqueName="6" name="A_T" queryTableFieldId="6" dataDxfId="109"/>
    <tableColumn id="7" xr3:uid="{96C6DD73-4FBA-4AB9-AD04-6B9F680FB1DB}" uniqueName="7" name="A_q" queryTableFieldId="7" dataDxfId="108"/>
    <tableColumn id="8" xr3:uid="{506AB28A-D06C-45B5-A6F9-3BCD5ADF10C6}" uniqueName="8" name="A_T/A_q" queryTableFieldId="8" dataDxfId="107"/>
    <tableColumn id="9" xr3:uid="{97F6AF4E-F0F3-40C5-9DE3-D1F0BCDDD2E5}" uniqueName="9" name="T / V" queryTableFieldId="9" dataDxfId="106">
      <calculatedColumnFormula>IF(ROWS($I$23:I23)&lt;=n_T,"Training",IF(AND(Data_Effect_m_L[[#This Row],[PCM]]&lt;&gt;"RT8 (15mm)",Data_Effect_m_L[[#This Row],[PCM]]&lt;&gt;"RT18"),"Validation",IF(Data_Effect_m_L[[#This Row],[PCM]]="RT8 (15mm)",$B$7,$B$8)))</calculatedColumnFormula>
    </tableColumn>
    <tableColumn id="10" xr3:uid="{C3E375F2-E4FE-4FAA-8935-2B5744DEBB2F}" uniqueName="10" name="Sort" queryTableFieldId="10" dataDxfId="105">
      <calculatedColumnFormula>IF(OR(Data_Effect_m_L[[#This Row],[T / V]]="Training",Data_Effect_m_L[[#This Row],[T / V]]="Validation"),RAND(),IF(Data_Effect_m_L[[#This Row],[PCM]]="RT8 (15mm)",1.1,1.2))</calculatedColumnFormula>
    </tableColumn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88642F-65BA-4D2A-9F49-35E891D06D2C}" name="Estimates_Effect_m_L" displayName="Estimates_Effect_m_L" ref="O22:R82" totalsRowShown="0" headerRowDxfId="104" dataDxfId="103">
  <autoFilter ref="O22:R82" xr:uid="{6047FBD0-9058-4646-A1F3-BFA2E0DCB6AD}"/>
  <tableColumns count="4">
    <tableColumn id="1" xr3:uid="{F52E8922-9D9A-47FC-A77F-B15014E53383}" name="A_q measured" dataDxfId="102">
      <calculatedColumnFormula>Data_Effect_m_L[[#This Row],[A_q]]</calculatedColumnFormula>
    </tableColumn>
    <tableColumn id="2" xr3:uid="{FD1D4F78-9C8D-4586-8481-9F7717AB5DDC}" name="A_q predicted (b=0)" dataDxfId="101">
      <calculatedColumnFormula>Data_Effect_m_L[[#This Row],[A_T]]*$C$12</calculatedColumnFormula>
    </tableColumn>
    <tableColumn id="4" xr3:uid="{A756B44A-ECAB-4007-9455-B5222E8AA285}" name="T / V" dataDxfId="100">
      <calculatedColumnFormula>Data_Effect_m_L[[#This Row],[T / V]]</calculatedColumnFormula>
    </tableColumn>
    <tableColumn id="5" xr3:uid="{A940FE93-038D-4F95-9680-879FC13376DD}" name="Error" dataDxfId="99">
      <calculatedColumnFormula>ABS((Estimates_Effect_m_L[[#This Row],[A_q predicted (b=0)]]-Estimates_Effect_m_L[[#This Row],[A_q measured]])/Estimates_Effect_m_L[[#This Row],[A_q measured]])*100</calculatedColumnFormula>
    </tableColumn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F26872-03A1-42FB-A2CE-425A68D96984}" name="Data_All" displayName="Data_All" ref="A21:J81" tableType="queryTable" totalsRowShown="0" headerRowDxfId="98" dataDxfId="97">
  <autoFilter ref="A21:J81" xr:uid="{AABB9CA2-6E6B-4DA8-AEDF-B33398BB3436}"/>
  <sortState xmlns:xlrd2="http://schemas.microsoft.com/office/spreadsheetml/2017/richdata2" ref="A22:J69">
    <sortCondition ref="J21:J69"/>
  </sortState>
  <tableColumns count="10">
    <tableColumn id="1" xr3:uid="{2E74DC4D-289E-4A0F-BA8C-E457EF2CA1CB}" uniqueName="1" name="PCM" queryTableFieldId="1" dataDxfId="96"/>
    <tableColumn id="2" xr3:uid="{CC7962DB-CC93-420F-9C4C-7418575D4F02}" uniqueName="2" name="L" queryTableFieldId="2" dataDxfId="95"/>
    <tableColumn id="3" xr3:uid="{9855397D-5404-48DA-A2B8-B34F976BEFD4}" uniqueName="3" name="Process" queryTableFieldId="3" dataDxfId="94"/>
    <tableColumn id="4" xr3:uid="{927E0CA7-3758-4DA2-9C30-54A28981E9EA}" uniqueName="4" name="α" queryTableFieldId="4" dataDxfId="93"/>
    <tableColumn id="5" xr3:uid="{924DA661-1BAD-48DB-BD7B-7EEE57AACFC7}" uniqueName="5" name="Test" queryTableFieldId="5" dataDxfId="92"/>
    <tableColumn id="6" xr3:uid="{0F8A05C3-DBFD-493B-81B0-2F5DB1AEA947}" uniqueName="6" name="A_T" queryTableFieldId="6" dataDxfId="91"/>
    <tableColumn id="7" xr3:uid="{E03EEAE8-5B5C-4E1D-B892-7AE4B33C1D73}" uniqueName="7" name="A_q" queryTableFieldId="7" dataDxfId="90"/>
    <tableColumn id="8" xr3:uid="{C92E9ABD-1F30-44DE-B90C-AC8F5143F35F}" uniqueName="8" name="A_T/A_q" queryTableFieldId="8" dataDxfId="89"/>
    <tableColumn id="9" xr3:uid="{67131617-8A40-4CA4-884F-2A311999AE97}" uniqueName="9" name="T / V" queryTableFieldId="9" dataDxfId="88">
      <calculatedColumnFormula>IF(ROWS($I$22:I22)&lt;=n_T,"Training","Validation")</calculatedColumnFormula>
    </tableColumn>
    <tableColumn id="10" xr3:uid="{CAC8FF40-99FC-460B-AF5F-0E8421575841}" uniqueName="10" name="Sort" queryTableFieldId="10" dataDxfId="87">
      <calculatedColumnFormula>RAND()</calculatedColumnFormula>
    </tableColumn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00618C-A619-4417-9F08-3CF2D916607A}" name="Estimates_All" displayName="Estimates_All" ref="O21:R81" totalsRowShown="0" headerRowDxfId="86" dataDxfId="85">
  <autoFilter ref="O21:R81" xr:uid="{6047FBD0-9058-4646-A1F3-BFA2E0DCB6AD}"/>
  <tableColumns count="4">
    <tableColumn id="1" xr3:uid="{A220F1E7-CF47-430D-8DC6-6741881FC492}" name="A_q measured" dataDxfId="84">
      <calculatedColumnFormula>Data_All[[#This Row],[A_q]]</calculatedColumnFormula>
    </tableColumn>
    <tableColumn id="2" xr3:uid="{85609D66-95B7-4219-B38B-1B75D9F4CA30}" name="A_q predicted (b=0)" dataDxfId="83">
      <calculatedColumnFormula>Data_All[[#This Row],[A_T]]*$C$11</calculatedColumnFormula>
    </tableColumn>
    <tableColumn id="4" xr3:uid="{5EE60D42-81FA-4E81-9416-E68F5FFBC02B}" name="T / V" dataDxfId="82">
      <calculatedColumnFormula>Data_All[[#This Row],[T / V]]</calculatedColumnFormula>
    </tableColumn>
    <tableColumn id="5" xr3:uid="{087A013A-F621-4301-BF5B-7EA904B2F22B}" name="Error" dataDxfId="81">
      <calculatedColumnFormula>ABS((Estimates_All[[#This Row],[A_q predicted (b=0)]]-Estimates_All[[#This Row],[A_q measured]])/Estimates_All[[#This Row],[A_q measured]])*100</calculatedColumnFormula>
    </tableColumn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E4D584-05F4-4D18-A18F-D5F501AB40BF}" name="Data_Solidification" displayName="Data_Solidification" ref="A21:J51" tableType="queryTable" totalsRowShown="0" headerRowDxfId="80" dataDxfId="79">
  <autoFilter ref="A21:J51" xr:uid="{AABB9CA2-6E6B-4DA8-AEDF-B33398BB3436}"/>
  <sortState xmlns:xlrd2="http://schemas.microsoft.com/office/spreadsheetml/2017/richdata2" ref="A22:J69">
    <sortCondition ref="J21:J69"/>
  </sortState>
  <tableColumns count="10">
    <tableColumn id="1" xr3:uid="{22475129-BC9F-462D-BB87-3BBB22E161B4}" uniqueName="1" name="PCM" queryTableFieldId="1" dataDxfId="78"/>
    <tableColumn id="2" xr3:uid="{8C0BBA95-76B1-48F2-888A-4E8B5EA50E2F}" uniqueName="2" name="L" queryTableFieldId="2" dataDxfId="77"/>
    <tableColumn id="3" xr3:uid="{5B4A5374-AA34-40B6-8236-EF73DF9FCFB6}" uniqueName="3" name="Process" queryTableFieldId="3" dataDxfId="76"/>
    <tableColumn id="4" xr3:uid="{900EE1F4-2EFC-4DCE-BA80-2A86D51108CC}" uniqueName="4" name="α" queryTableFieldId="4" dataDxfId="75"/>
    <tableColumn id="5" xr3:uid="{2B6D0667-B2AC-40FB-A635-F0BD6DB5CE12}" uniqueName="5" name="Test" queryTableFieldId="5" dataDxfId="74"/>
    <tableColumn id="6" xr3:uid="{7F5FF6DD-88AE-400B-A165-D6C3D68B08C7}" uniqueName="6" name="A_T" queryTableFieldId="6" dataDxfId="73"/>
    <tableColumn id="7" xr3:uid="{FDC30DD7-3E43-485E-B90F-F561EC13D826}" uniqueName="7" name="A_q" queryTableFieldId="7" dataDxfId="72"/>
    <tableColumn id="8" xr3:uid="{7D342629-AA3D-42E0-8B85-FA3569E61E5C}" uniqueName="8" name="A_T/A_q" queryTableFieldId="8" dataDxfId="71"/>
    <tableColumn id="9" xr3:uid="{139C98C0-8A01-4EF2-80DE-4C4B0001C444}" uniqueName="9" name="T / V" queryTableFieldId="9" dataDxfId="70">
      <calculatedColumnFormula>IF(ROWS($I$22:I22)&lt;=n_T,"Training","Validation")</calculatedColumnFormula>
    </tableColumn>
    <tableColumn id="10" xr3:uid="{229B6066-A1D6-4AA5-9A41-B7E339A3289D}" uniqueName="10" name="Sort" queryTableFieldId="10" dataDxfId="69">
      <calculatedColumnFormula>RAND()</calculatedColumnFormula>
    </tableColumn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2F497B-BA79-4672-88F5-E34C1366D424}" name="Estimates_Solidification" displayName="Estimates_Solidification" ref="O21:R51" totalsRowShown="0" headerRowDxfId="68" dataDxfId="67">
  <autoFilter ref="O21:R51" xr:uid="{6047FBD0-9058-4646-A1F3-BFA2E0DCB6AD}"/>
  <tableColumns count="4">
    <tableColumn id="1" xr3:uid="{B4648978-131D-42FC-8548-60BA041FDF02}" name="A_q measured" dataDxfId="66">
      <calculatedColumnFormula>Data_Solidification[[#This Row],[A_q]]</calculatedColumnFormula>
    </tableColumn>
    <tableColumn id="2" xr3:uid="{7A60D533-D0B5-4E7C-86D8-9FF3B9D6D610}" name="A_q predicted (b=0)" dataDxfId="65">
      <calculatedColumnFormula>Data_Solidification[[#This Row],[A_T]]*$C$11</calculatedColumnFormula>
    </tableColumn>
    <tableColumn id="4" xr3:uid="{19537D95-E37F-46FE-8BFB-F26EB9AEB26A}" name="T / V" dataDxfId="64">
      <calculatedColumnFormula>Data_Solidification[[#This Row],[T / V]]</calculatedColumnFormula>
    </tableColumn>
    <tableColumn id="5" xr3:uid="{7BCE814E-5A90-4E5C-B516-2FB39FB841E2}" name="Error" dataDxfId="63">
      <calculatedColumnFormula>ABS((Estimates_Solidification[[#This Row],[A_q predicted (b=0)]]-Estimates_Solidification[[#This Row],[A_q measured]])/Estimates_Solidification[[#This Row],[A_q measured]])*100</calculatedColumnFormula>
    </tableColumn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48F911-E3ED-4EF7-9C67-94EF5D0C7462}" name="Data_Melting" displayName="Data_Melting" ref="A21:J51" tableType="queryTable" totalsRowShown="0" headerRowDxfId="62" dataDxfId="61">
  <autoFilter ref="A21:J51" xr:uid="{AABB9CA2-6E6B-4DA8-AEDF-B33398BB3436}"/>
  <sortState xmlns:xlrd2="http://schemas.microsoft.com/office/spreadsheetml/2017/richdata2" ref="A22:J69">
    <sortCondition ref="J21:J69"/>
  </sortState>
  <tableColumns count="10">
    <tableColumn id="1" xr3:uid="{57A4833C-2B13-4196-9253-150FD4528B4E}" uniqueName="1" name="PCM" queryTableFieldId="1" dataDxfId="60"/>
    <tableColumn id="2" xr3:uid="{35E596AF-2C78-40EC-A5D8-46B82503FCB4}" uniqueName="2" name="L" queryTableFieldId="2" dataDxfId="59"/>
    <tableColumn id="3" xr3:uid="{2BDCA1A3-53A8-453F-B248-249C3C9A19DE}" uniqueName="3" name="Process" queryTableFieldId="3" dataDxfId="58"/>
    <tableColumn id="4" xr3:uid="{77641B86-2EB9-4DB3-9A62-CAB05D6F8A89}" uniqueName="4" name="α" queryTableFieldId="4" dataDxfId="57"/>
    <tableColumn id="5" xr3:uid="{112E5A50-CF76-43F9-A345-4551D0B82501}" uniqueName="5" name="Test" queryTableFieldId="5" dataDxfId="56"/>
    <tableColumn id="6" xr3:uid="{6612EBF2-1ED8-4EA8-93B3-81105E06BDAA}" uniqueName="6" name="A_T" queryTableFieldId="6" dataDxfId="55"/>
    <tableColumn id="7" xr3:uid="{CB43DFC2-0C59-4AD5-99B8-4F21BC6484F4}" uniqueName="7" name="A_q" queryTableFieldId="7" dataDxfId="54"/>
    <tableColumn id="8" xr3:uid="{2C309CAE-2B81-49AA-9AC6-2E82222FD556}" uniqueName="8" name="A_T/A_q" queryTableFieldId="8" dataDxfId="53"/>
    <tableColumn id="9" xr3:uid="{FF91347C-285E-49B5-8DAB-05D01B634749}" uniqueName="9" name="T / V" queryTableFieldId="9" dataDxfId="52">
      <calculatedColumnFormula>IF(ROWS($I$22:I22)&lt;=n_T,"Training","Validation")</calculatedColumnFormula>
    </tableColumn>
    <tableColumn id="10" xr3:uid="{842C557A-770D-4FC3-8655-D58304F631A3}" uniqueName="10" name="Sort" queryTableFieldId="10" dataDxfId="51">
      <calculatedColumnFormula>RAND()</calculatedColumnFormula>
    </tableColumn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FADFF42-4CA7-458B-BCE0-D424E1262B8E}" name="Estimates_Melting" displayName="Estimates_Melting" ref="O21:R51" totalsRowShown="0" headerRowDxfId="50" dataDxfId="49">
  <autoFilter ref="O21:R51" xr:uid="{6047FBD0-9058-4646-A1F3-BFA2E0DCB6AD}"/>
  <tableColumns count="4">
    <tableColumn id="1" xr3:uid="{8766F2BB-6735-40FE-8E1F-1DF96A741229}" name="A_q measured" dataDxfId="48">
      <calculatedColumnFormula>Data_Melting[[#This Row],[A_q]]</calculatedColumnFormula>
    </tableColumn>
    <tableColumn id="2" xr3:uid="{3E47C17B-EFB6-41D2-9B37-0254DB8CCB2F}" name="A_q predicted (b=0)" dataDxfId="47">
      <calculatedColumnFormula>Data_Melting[[#This Row],[A_T]]*$C$11</calculatedColumnFormula>
    </tableColumn>
    <tableColumn id="4" xr3:uid="{A86315B5-6D25-4C92-8B54-38E3B394C6CA}" name="T / V" dataDxfId="46">
      <calculatedColumnFormula>Data_Melting[[#This Row],[T / V]]</calculatedColumnFormula>
    </tableColumn>
    <tableColumn id="5" xr3:uid="{6FBC4504-983D-453E-BC24-D8CEC66DB34A}" name="Error" dataDxfId="45">
      <calculatedColumnFormula>ABS((Estimates_Melting[[#This Row],[A_q predicted (b=0)]]-Estimates_Melting[[#This Row],[A_q measured]])/Estimates_Melting[[#This Row],[A_q measured]])*100</calculatedColumnFormula>
    </tableColumn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10F364-80D1-4BB1-939F-18C6653ACB67}" name="Data_1Ch" displayName="Data_1Ch" ref="A21:J51" tableType="queryTable" totalsRowShown="0" headerRowDxfId="44" dataDxfId="43">
  <autoFilter ref="A21:J51" xr:uid="{AABB9CA2-6E6B-4DA8-AEDF-B33398BB3436}"/>
  <sortState xmlns:xlrd2="http://schemas.microsoft.com/office/spreadsheetml/2017/richdata2" ref="A22:J69">
    <sortCondition ref="J21:J69"/>
  </sortState>
  <tableColumns count="10">
    <tableColumn id="1" xr3:uid="{D14BF05D-C3C1-4878-989A-CC4B71CF3B9C}" uniqueName="1" name="PCM" queryTableFieldId="1" dataDxfId="42"/>
    <tableColumn id="2" xr3:uid="{B02C56FD-677A-4E40-8445-B76150EDB537}" uniqueName="2" name="L" queryTableFieldId="2" dataDxfId="41"/>
    <tableColumn id="3" xr3:uid="{E9ABC499-D25C-4E67-8CE1-3EA7559782B5}" uniqueName="3" name="Process" queryTableFieldId="3" dataDxfId="40"/>
    <tableColumn id="4" xr3:uid="{F731CE32-FA6A-40E6-8A42-3639ED001EA5}" uniqueName="4" name="α" queryTableFieldId="4" dataDxfId="39"/>
    <tableColumn id="5" xr3:uid="{39AFF43F-6C63-4D80-AEE8-2284B3075E28}" uniqueName="5" name="Test" queryTableFieldId="5" dataDxfId="38"/>
    <tableColumn id="6" xr3:uid="{CF51BB34-D2CB-4CF1-9149-E09C69B46C9F}" uniqueName="6" name="A_T" queryTableFieldId="6" dataDxfId="37"/>
    <tableColumn id="7" xr3:uid="{42A04C02-8D24-422C-9AAF-A777E02C3C19}" uniqueName="7" name="A_q" queryTableFieldId="7" dataDxfId="36"/>
    <tableColumn id="8" xr3:uid="{46B392BD-D377-491E-B3B5-84D794130FEB}" uniqueName="8" name="A_T/A_q" queryTableFieldId="8" dataDxfId="35"/>
    <tableColumn id="9" xr3:uid="{25C2707C-6D30-4F39-A6B6-B6331794FF9A}" uniqueName="9" name="T / V" queryTableFieldId="9" dataDxfId="34">
      <calculatedColumnFormula>IF(ROWS($I$22:I22)&lt;=n_T,"Training","Validation")</calculatedColumnFormula>
    </tableColumn>
    <tableColumn id="10" xr3:uid="{1183C2CA-2BAA-48E8-B226-AF99E1342F06}" uniqueName="10" name="Sort" queryTableFieldId="10" dataDxfId="33">
      <calculatedColumnFormula>RAND()</calculatedColumnFormula>
    </tableColumn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E15F97C-981B-4BC6-865F-917EC27D60E9}" name="Estimates_1Ch" displayName="Estimates_1Ch" ref="O21:R51" totalsRowShown="0" headerRowDxfId="32" dataDxfId="31">
  <autoFilter ref="O21:R51" xr:uid="{6047FBD0-9058-4646-A1F3-BFA2E0DCB6AD}"/>
  <tableColumns count="4">
    <tableColumn id="1" xr3:uid="{A1DED6E0-67B2-4880-B5B7-197308E3A0CB}" name="A_q measured" dataDxfId="30">
      <calculatedColumnFormula>Data_1Ch[[#This Row],[A_q]]</calculatedColumnFormula>
    </tableColumn>
    <tableColumn id="2" xr3:uid="{496142B0-E88E-4939-820B-D344D3D85250}" name="A_q predicted (b=0)" dataDxfId="29">
      <calculatedColumnFormula>Data_1Ch[[#This Row],[A_T]]*$C$11</calculatedColumnFormula>
    </tableColumn>
    <tableColumn id="4" xr3:uid="{0159E5FB-D45E-40E4-91EB-7D44B15C2798}" name="T / V" dataDxfId="28">
      <calculatedColumnFormula>Data_1Ch[[#This Row],[T / V]]</calculatedColumnFormula>
    </tableColumn>
    <tableColumn id="5" xr3:uid="{98E6F464-3155-4B2E-99C1-5DEA1F44CBBF}" name="Error" dataDxfId="27">
      <calculatedColumnFormula>ABS((Estimates_1Ch[[#This Row],[A_q predicted (b=0)]]-Estimates_1Ch[[#This Row],[A_q measured]])/Estimates_1Ch[[#This Row],[A_q measured]])*100</calculatedColumnFormula>
    </tableColumn>
  </tableColumns>
  <tableStyleInfo name="Estilo de tabla 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2D4B2A-34B0-470E-A5BA-38082604A91B}" name="Data_05Ch" displayName="Data_05Ch" ref="A21:J51" tableType="queryTable" totalsRowShown="0" headerRowDxfId="26" dataDxfId="25">
  <autoFilter ref="A21:J51" xr:uid="{AABB9CA2-6E6B-4DA8-AEDF-B33398BB3436}"/>
  <sortState xmlns:xlrd2="http://schemas.microsoft.com/office/spreadsheetml/2017/richdata2" ref="A22:J69">
    <sortCondition ref="J21:J69"/>
  </sortState>
  <tableColumns count="10">
    <tableColumn id="1" xr3:uid="{1DEC20DE-5919-4F19-A72B-BF86B2A85518}" uniqueName="1" name="PCM" queryTableFieldId="1" dataDxfId="24"/>
    <tableColumn id="2" xr3:uid="{BFADF9D0-D7A3-45A3-A55C-758BFBF55665}" uniqueName="2" name="L" queryTableFieldId="2" dataDxfId="23"/>
    <tableColumn id="3" xr3:uid="{4153EC17-0D9D-4DFC-A799-C65FCDEE5FBB}" uniqueName="3" name="Process" queryTableFieldId="3" dataDxfId="22"/>
    <tableColumn id="4" xr3:uid="{D8C138F3-3281-4262-84E8-A0AC031D8FE7}" uniqueName="4" name="α" queryTableFieldId="4" dataDxfId="21"/>
    <tableColumn id="5" xr3:uid="{ADE2D17D-B34E-4E20-8C67-AF430D26A465}" uniqueName="5" name="Test" queryTableFieldId="5" dataDxfId="20"/>
    <tableColumn id="6" xr3:uid="{37607E83-0A8D-4038-8B14-F88F384A663E}" uniqueName="6" name="A_T" queryTableFieldId="6" dataDxfId="19"/>
    <tableColumn id="7" xr3:uid="{AAA11FA8-976D-411F-8B9A-1CDFC2C8D5EF}" uniqueName="7" name="A_q" queryTableFieldId="7" dataDxfId="18"/>
    <tableColumn id="8" xr3:uid="{8E3EC87B-E326-4563-B568-9319493F8683}" uniqueName="8" name="A_T/A_q" queryTableFieldId="8" dataDxfId="17"/>
    <tableColumn id="9" xr3:uid="{F0EAE945-7876-42F9-BB30-5BBA9778F929}" uniqueName="9" name="T / V" queryTableFieldId="9" dataDxfId="16">
      <calculatedColumnFormula>IF(ROWS($I$22:I22)&lt;=n_T,"Training","Validation")</calculatedColumnFormula>
    </tableColumn>
    <tableColumn id="10" xr3:uid="{695CB84F-6B05-48CA-A4FA-34E90A24B32A}" uniqueName="10" name="Sort" queryTableFieldId="10" dataDxfId="15">
      <calculatedColumnFormula>RAND()</calculatedColumnFormula>
    </tableColumn>
  </tableColumns>
  <tableStyleInfo name="Estilo de tabla 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1FFE930-CF71-4CF7-B442-A10654D99F4A}" name="Estimates_05Ch" displayName="Estimates_05Ch" ref="O21:R51" totalsRowShown="0" headerRowDxfId="14" dataDxfId="13">
  <autoFilter ref="O21:R51" xr:uid="{6047FBD0-9058-4646-A1F3-BFA2E0DCB6AD}"/>
  <tableColumns count="4">
    <tableColumn id="1" xr3:uid="{72AD1E31-3B9F-4198-9848-BA90E97258F7}" name="A_q measured" dataDxfId="12">
      <calculatedColumnFormula>Data_05Ch[[#This Row],[A_q]]</calculatedColumnFormula>
    </tableColumn>
    <tableColumn id="2" xr3:uid="{E8170A3D-73DA-4611-9CF4-2000D1B3F4B8}" name="A_q predicted (b=0)" dataDxfId="11">
      <calculatedColumnFormula>Data_05Ch[[#This Row],[A_T]]*$C$11</calculatedColumnFormula>
    </tableColumn>
    <tableColumn id="4" xr3:uid="{BEC972DD-FA7E-4FA4-B93E-5EED2C934CE6}" name="T / V" dataDxfId="10">
      <calculatedColumnFormula>Data_05Ch[[#This Row],[T / V]]</calculatedColumnFormula>
    </tableColumn>
    <tableColumn id="5" xr3:uid="{EB152F4E-32F6-4803-92A3-004C78AC8682}" name="Error" dataDxfId="9">
      <calculatedColumnFormula>ABS((Estimates_05Ch[[#This Row],[A_q predicted (b=0)]]-Estimates_05Ch[[#This Row],[A_q measured]])/Estimates_05Ch[[#This Row],[A_q measured]])*100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BDC8-99D9-4FF1-AF71-2A58176DDBE9}">
  <dimension ref="B2:AF401"/>
  <sheetViews>
    <sheetView zoomScale="55" zoomScaleNormal="55" workbookViewId="0">
      <selection activeCell="G34" sqref="G34"/>
    </sheetView>
  </sheetViews>
  <sheetFormatPr baseColWidth="10" defaultRowHeight="14.4" x14ac:dyDescent="0.3"/>
  <cols>
    <col min="2" max="32" width="11.5546875" style="75"/>
  </cols>
  <sheetData>
    <row r="2" spans="2:32" x14ac:dyDescent="0.3">
      <c r="C2" s="117" t="s">
        <v>67</v>
      </c>
      <c r="D2" s="118"/>
      <c r="E2" s="118"/>
      <c r="F2" s="118"/>
      <c r="G2" s="118"/>
      <c r="H2" s="119"/>
      <c r="I2" s="117" t="s">
        <v>68</v>
      </c>
      <c r="J2" s="118"/>
      <c r="K2" s="118"/>
      <c r="L2" s="118"/>
      <c r="M2" s="118"/>
      <c r="N2" s="119"/>
      <c r="O2" s="117" t="s">
        <v>69</v>
      </c>
      <c r="P2" s="118"/>
      <c r="Q2" s="118"/>
      <c r="R2" s="118"/>
      <c r="S2" s="118"/>
      <c r="T2" s="119"/>
      <c r="U2" s="117" t="s">
        <v>70</v>
      </c>
      <c r="V2" s="118"/>
      <c r="W2" s="118"/>
      <c r="X2" s="118"/>
      <c r="Y2" s="118"/>
      <c r="Z2" s="119"/>
      <c r="AA2" s="117" t="s">
        <v>71</v>
      </c>
      <c r="AB2" s="118"/>
      <c r="AC2" s="118"/>
      <c r="AD2" s="118"/>
      <c r="AE2" s="118"/>
      <c r="AF2" s="119"/>
    </row>
    <row r="3" spans="2:32" ht="16.2" x14ac:dyDescent="0.3">
      <c r="C3" s="137" t="s">
        <v>91</v>
      </c>
      <c r="D3" s="138"/>
      <c r="E3" s="138"/>
      <c r="F3" s="138" t="s">
        <v>92</v>
      </c>
      <c r="G3" s="138"/>
      <c r="H3" s="139"/>
      <c r="I3" s="137" t="s">
        <v>91</v>
      </c>
      <c r="J3" s="138"/>
      <c r="K3" s="138"/>
      <c r="L3" s="138" t="s">
        <v>92</v>
      </c>
      <c r="M3" s="138"/>
      <c r="N3" s="139"/>
      <c r="O3" s="137" t="s">
        <v>91</v>
      </c>
      <c r="P3" s="138"/>
      <c r="Q3" s="138"/>
      <c r="R3" s="138" t="s">
        <v>92</v>
      </c>
      <c r="S3" s="138"/>
      <c r="T3" s="139"/>
      <c r="U3" s="137" t="s">
        <v>91</v>
      </c>
      <c r="V3" s="138"/>
      <c r="W3" s="138"/>
      <c r="X3" s="138" t="s">
        <v>92</v>
      </c>
      <c r="Y3" s="138"/>
      <c r="Z3" s="139"/>
      <c r="AA3" s="137" t="s">
        <v>91</v>
      </c>
      <c r="AB3" s="138"/>
      <c r="AC3" s="138"/>
      <c r="AD3" s="138" t="s">
        <v>92</v>
      </c>
      <c r="AE3" s="138"/>
      <c r="AF3" s="139"/>
    </row>
    <row r="4" spans="2:32" x14ac:dyDescent="0.3">
      <c r="B4" s="91" t="s">
        <v>93</v>
      </c>
      <c r="C4" s="98" t="s">
        <v>72</v>
      </c>
      <c r="D4" s="99" t="s">
        <v>73</v>
      </c>
      <c r="E4" s="99" t="s">
        <v>74</v>
      </c>
      <c r="F4" s="99" t="s">
        <v>72</v>
      </c>
      <c r="G4" s="99" t="s">
        <v>73</v>
      </c>
      <c r="H4" s="100" t="s">
        <v>74</v>
      </c>
      <c r="I4" s="98" t="s">
        <v>72</v>
      </c>
      <c r="J4" s="99" t="s">
        <v>73</v>
      </c>
      <c r="K4" s="99" t="s">
        <v>74</v>
      </c>
      <c r="L4" s="99" t="s">
        <v>72</v>
      </c>
      <c r="M4" s="99" t="s">
        <v>73</v>
      </c>
      <c r="N4" s="100" t="s">
        <v>74</v>
      </c>
      <c r="O4" s="98" t="s">
        <v>72</v>
      </c>
      <c r="P4" s="99" t="s">
        <v>73</v>
      </c>
      <c r="Q4" s="99" t="s">
        <v>74</v>
      </c>
      <c r="R4" s="99" t="s">
        <v>72</v>
      </c>
      <c r="S4" s="99" t="s">
        <v>73</v>
      </c>
      <c r="T4" s="100" t="s">
        <v>74</v>
      </c>
      <c r="U4" s="98" t="s">
        <v>72</v>
      </c>
      <c r="V4" s="99" t="s">
        <v>73</v>
      </c>
      <c r="W4" s="99" t="s">
        <v>74</v>
      </c>
      <c r="X4" s="99" t="s">
        <v>72</v>
      </c>
      <c r="Y4" s="99" t="s">
        <v>73</v>
      </c>
      <c r="Z4" s="100" t="s">
        <v>74</v>
      </c>
      <c r="AA4" s="98" t="s">
        <v>72</v>
      </c>
      <c r="AB4" s="99" t="s">
        <v>73</v>
      </c>
      <c r="AC4" s="99" t="s">
        <v>74</v>
      </c>
      <c r="AD4" s="99" t="s">
        <v>72</v>
      </c>
      <c r="AE4" s="99" t="s">
        <v>73</v>
      </c>
      <c r="AF4" s="100" t="s">
        <v>74</v>
      </c>
    </row>
    <row r="5" spans="2:32" x14ac:dyDescent="0.3">
      <c r="B5" s="111">
        <v>0</v>
      </c>
      <c r="C5" s="104">
        <v>20.170000000000002</v>
      </c>
      <c r="D5" s="75">
        <v>20.21</v>
      </c>
      <c r="E5" s="75">
        <v>20.079999999999998</v>
      </c>
      <c r="F5" s="75">
        <v>0.80400000000000005</v>
      </c>
      <c r="G5" s="75">
        <v>-4.0000000000000001E-3</v>
      </c>
      <c r="H5" s="105">
        <v>-0.55100000000000005</v>
      </c>
      <c r="I5" s="104">
        <v>20.05</v>
      </c>
      <c r="J5" s="75">
        <v>20.079999999999998</v>
      </c>
      <c r="K5" s="75">
        <v>20.02</v>
      </c>
      <c r="L5" s="75">
        <v>0.68300000000000005</v>
      </c>
      <c r="M5" s="75">
        <v>8.0000000000000002E-3</v>
      </c>
      <c r="N5" s="105">
        <v>0.34799999999999998</v>
      </c>
      <c r="O5" s="104">
        <v>36.090000000000003</v>
      </c>
      <c r="P5" s="75">
        <v>36.42</v>
      </c>
      <c r="Q5" s="75">
        <v>37</v>
      </c>
      <c r="R5" s="75">
        <v>0.19400000000000001</v>
      </c>
      <c r="S5" s="75">
        <v>0.10199999999999999</v>
      </c>
      <c r="T5" s="105">
        <v>-0.114</v>
      </c>
      <c r="U5" s="104">
        <v>35.840000000000003</v>
      </c>
      <c r="V5" s="75">
        <v>36.21</v>
      </c>
      <c r="W5" s="75">
        <v>35.61</v>
      </c>
      <c r="X5" s="75">
        <v>-0.312</v>
      </c>
      <c r="Y5" s="75">
        <v>-0.20100000000000001</v>
      </c>
      <c r="Z5" s="105">
        <v>-0.29099999999999998</v>
      </c>
      <c r="AA5" s="104">
        <v>18.04</v>
      </c>
      <c r="AB5" s="75">
        <v>18.100000000000001</v>
      </c>
      <c r="AC5" s="75">
        <v>18.100000000000001</v>
      </c>
      <c r="AD5" s="75">
        <v>1.74</v>
      </c>
      <c r="AE5" s="75">
        <v>1.82</v>
      </c>
      <c r="AF5" s="105">
        <v>5.2</v>
      </c>
    </row>
    <row r="6" spans="2:32" x14ac:dyDescent="0.3">
      <c r="B6" s="111">
        <v>0.16666666666666666</v>
      </c>
      <c r="C6" s="104">
        <v>20.190000000000001</v>
      </c>
      <c r="D6" s="75">
        <v>20.2</v>
      </c>
      <c r="E6" s="75">
        <v>20.04</v>
      </c>
      <c r="F6" s="75">
        <v>0.59599999999999997</v>
      </c>
      <c r="G6" s="75">
        <v>-1.802</v>
      </c>
      <c r="H6" s="105">
        <v>-0.61899999999999999</v>
      </c>
      <c r="I6" s="104">
        <v>20.059999999999999</v>
      </c>
      <c r="J6" s="75">
        <v>20.03</v>
      </c>
      <c r="K6" s="75">
        <v>19.91</v>
      </c>
      <c r="L6" s="75">
        <v>1.2090000000000001</v>
      </c>
      <c r="M6" s="75">
        <v>0.68300000000000005</v>
      </c>
      <c r="N6" s="105">
        <v>8.0000000000000002E-3</v>
      </c>
      <c r="O6" s="104">
        <v>36.07</v>
      </c>
      <c r="P6" s="75">
        <v>36.43</v>
      </c>
      <c r="Q6" s="75">
        <v>36.85</v>
      </c>
      <c r="R6" s="75">
        <v>-4.2999999999999997E-2</v>
      </c>
      <c r="S6" s="75">
        <v>0.442</v>
      </c>
      <c r="T6" s="105">
        <v>-0.14699999999999999</v>
      </c>
      <c r="U6" s="104">
        <v>35.81</v>
      </c>
      <c r="V6" s="75">
        <v>36.200000000000003</v>
      </c>
      <c r="W6" s="75">
        <v>35.619999999999997</v>
      </c>
      <c r="X6" s="75">
        <v>-0.309</v>
      </c>
      <c r="Y6" s="75">
        <v>-0.123</v>
      </c>
      <c r="Z6" s="105">
        <v>-0.20100000000000001</v>
      </c>
      <c r="AA6" s="104">
        <v>18.010000000000002</v>
      </c>
      <c r="AB6" s="75">
        <v>18.579999999999998</v>
      </c>
      <c r="AC6" s="75">
        <v>18.59</v>
      </c>
      <c r="AD6" s="75">
        <v>1.9E-2</v>
      </c>
      <c r="AE6" s="75">
        <v>6.2220000000000004</v>
      </c>
      <c r="AF6" s="105">
        <v>5.5679999999999996</v>
      </c>
    </row>
    <row r="7" spans="2:32" x14ac:dyDescent="0.3">
      <c r="B7" s="111">
        <v>0.33333333333333331</v>
      </c>
      <c r="C7" s="104">
        <v>20.12</v>
      </c>
      <c r="D7" s="75">
        <v>20.11</v>
      </c>
      <c r="E7" s="75">
        <v>19.97</v>
      </c>
      <c r="F7" s="75">
        <v>-1.466</v>
      </c>
      <c r="G7" s="75">
        <v>-2.4009999999999998</v>
      </c>
      <c r="H7" s="105">
        <v>-1.7869999999999999</v>
      </c>
      <c r="I7" s="104">
        <v>20.010000000000002</v>
      </c>
      <c r="J7" s="75">
        <v>19.989999999999998</v>
      </c>
      <c r="K7" s="75">
        <v>19.84</v>
      </c>
      <c r="L7" s="75">
        <v>1.101</v>
      </c>
      <c r="M7" s="75">
        <v>-3.2919999999999998</v>
      </c>
      <c r="N7" s="105">
        <v>-3.1E-2</v>
      </c>
      <c r="O7" s="104">
        <v>36.08</v>
      </c>
      <c r="P7" s="75">
        <v>36.36</v>
      </c>
      <c r="Q7" s="75">
        <v>36.69</v>
      </c>
      <c r="R7" s="75">
        <v>0.20699999999999999</v>
      </c>
      <c r="S7" s="75">
        <v>0.25900000000000001</v>
      </c>
      <c r="T7" s="105">
        <v>-0.14299999999999999</v>
      </c>
      <c r="U7" s="104">
        <v>35.89</v>
      </c>
      <c r="V7" s="75">
        <v>36.21</v>
      </c>
      <c r="W7" s="75">
        <v>35.68</v>
      </c>
      <c r="X7" s="75">
        <v>-0.38100000000000001</v>
      </c>
      <c r="Y7" s="75">
        <v>0.21</v>
      </c>
      <c r="Z7" s="105">
        <v>-0.21099999999999999</v>
      </c>
      <c r="AA7" s="104">
        <v>17.91</v>
      </c>
      <c r="AB7" s="75">
        <v>18.54</v>
      </c>
      <c r="AC7" s="75">
        <v>18.55</v>
      </c>
      <c r="AD7" s="75">
        <v>-1.708</v>
      </c>
      <c r="AE7" s="75">
        <v>-2.226</v>
      </c>
      <c r="AF7" s="105">
        <v>-2.2650000000000001</v>
      </c>
    </row>
    <row r="8" spans="2:32" x14ac:dyDescent="0.3">
      <c r="B8" s="111">
        <v>0.5</v>
      </c>
      <c r="C8" s="104">
        <v>20</v>
      </c>
      <c r="D8" s="75">
        <v>20.059999999999999</v>
      </c>
      <c r="E8" s="75">
        <v>19.899999999999999</v>
      </c>
      <c r="F8" s="75">
        <v>-2.2839999999999998</v>
      </c>
      <c r="G8" s="75">
        <v>-2.4420000000000002</v>
      </c>
      <c r="H8" s="105">
        <v>-2.4279999999999999</v>
      </c>
      <c r="I8" s="104">
        <v>19.899999999999999</v>
      </c>
      <c r="J8" s="75">
        <v>19.95</v>
      </c>
      <c r="K8" s="75">
        <v>19.73</v>
      </c>
      <c r="L8" s="75">
        <v>-1.2529999999999999</v>
      </c>
      <c r="M8" s="75">
        <v>-4.617</v>
      </c>
      <c r="N8" s="105">
        <v>-1.7869999999999999</v>
      </c>
      <c r="O8" s="104">
        <v>36.08</v>
      </c>
      <c r="P8" s="75">
        <v>36.270000000000003</v>
      </c>
      <c r="Q8" s="75">
        <v>36.47</v>
      </c>
      <c r="R8" s="75">
        <v>0.20499999999999999</v>
      </c>
      <c r="S8" s="75">
        <v>0.23</v>
      </c>
      <c r="T8" s="105">
        <v>-0.161</v>
      </c>
      <c r="U8" s="104">
        <v>35.840000000000003</v>
      </c>
      <c r="V8" s="75">
        <v>36.21</v>
      </c>
      <c r="W8" s="75">
        <v>35.650000000000006</v>
      </c>
      <c r="X8" s="75">
        <v>-0.99199999999999999</v>
      </c>
      <c r="Y8" s="75">
        <v>-0.871</v>
      </c>
      <c r="Z8" s="105">
        <v>-0.70099999999999996</v>
      </c>
      <c r="AA8" s="104">
        <v>17.77</v>
      </c>
      <c r="AB8" s="75">
        <v>18.34</v>
      </c>
      <c r="AC8" s="75">
        <v>18.37</v>
      </c>
      <c r="AD8" s="75">
        <v>-2.08</v>
      </c>
      <c r="AE8" s="75">
        <v>-4.9000000000000004</v>
      </c>
      <c r="AF8" s="105">
        <v>-4.7839999999999998</v>
      </c>
    </row>
    <row r="9" spans="2:32" x14ac:dyDescent="0.3">
      <c r="B9" s="111">
        <v>0.66666666666666663</v>
      </c>
      <c r="C9" s="104">
        <v>19.87</v>
      </c>
      <c r="D9" s="75">
        <v>20.04</v>
      </c>
      <c r="E9" s="75">
        <v>19.829999999999998</v>
      </c>
      <c r="F9" s="75">
        <v>-2.6339999999999999</v>
      </c>
      <c r="G9" s="75">
        <v>-2.4550000000000001</v>
      </c>
      <c r="H9" s="105">
        <v>-3.012</v>
      </c>
      <c r="I9" s="104">
        <v>19.77</v>
      </c>
      <c r="J9" s="75">
        <v>19.89</v>
      </c>
      <c r="K9" s="75">
        <v>19.71</v>
      </c>
      <c r="L9" s="75">
        <v>-2.2949999999999999</v>
      </c>
      <c r="M9" s="75">
        <v>-5.3470000000000004</v>
      </c>
      <c r="N9" s="105">
        <v>-2.7509999999999999</v>
      </c>
      <c r="O9" s="104">
        <v>36.11</v>
      </c>
      <c r="P9" s="75">
        <v>36.26</v>
      </c>
      <c r="Q9" s="75">
        <v>36.26</v>
      </c>
      <c r="R9" s="75">
        <v>0.14099999999999999</v>
      </c>
      <c r="S9" s="75">
        <v>-0.21099999999999999</v>
      </c>
      <c r="T9" s="105">
        <v>-0.23200000000000001</v>
      </c>
      <c r="U9" s="104">
        <v>35.85</v>
      </c>
      <c r="V9" s="75">
        <v>36.24</v>
      </c>
      <c r="W9" s="75">
        <v>35.660000000000004</v>
      </c>
      <c r="X9" s="75">
        <v>-2.6680000000000001</v>
      </c>
      <c r="Y9" s="75">
        <v>-3.8119999999999998</v>
      </c>
      <c r="Z9" s="105">
        <v>-1.2030000000000001</v>
      </c>
      <c r="AA9" s="104">
        <v>17.64</v>
      </c>
      <c r="AB9" s="75">
        <v>18.05</v>
      </c>
      <c r="AC9" s="75">
        <v>18.11</v>
      </c>
      <c r="AD9" s="75">
        <v>-1.6140000000000001</v>
      </c>
      <c r="AE9" s="75">
        <v>-5.7889999999999997</v>
      </c>
      <c r="AF9" s="105">
        <v>-5.5259999999999998</v>
      </c>
    </row>
    <row r="10" spans="2:32" x14ac:dyDescent="0.3">
      <c r="B10" s="111">
        <v>0.83333333333333326</v>
      </c>
      <c r="C10" s="104">
        <v>19.739999999999998</v>
      </c>
      <c r="D10" s="75">
        <v>19.96</v>
      </c>
      <c r="E10" s="75">
        <v>19.75</v>
      </c>
      <c r="F10" s="75">
        <v>-2.7229999999999999</v>
      </c>
      <c r="G10" s="75">
        <v>-2.786</v>
      </c>
      <c r="H10" s="105">
        <v>-2.774</v>
      </c>
      <c r="I10" s="104">
        <v>19.64</v>
      </c>
      <c r="J10" s="75">
        <v>19.86</v>
      </c>
      <c r="K10" s="75">
        <v>19.64</v>
      </c>
      <c r="L10" s="75">
        <v>-2.665</v>
      </c>
      <c r="M10" s="75">
        <v>-5.2910000000000004</v>
      </c>
      <c r="N10" s="105">
        <v>-3.4329999999999998</v>
      </c>
      <c r="O10" s="104">
        <v>36.11</v>
      </c>
      <c r="P10" s="75">
        <v>36.19</v>
      </c>
      <c r="Q10" s="75">
        <v>36.14</v>
      </c>
      <c r="R10" s="75">
        <v>0.192</v>
      </c>
      <c r="S10" s="75">
        <v>2.8000000000000001E-2</v>
      </c>
      <c r="T10" s="105">
        <v>-0.40699999999999997</v>
      </c>
      <c r="U10" s="104">
        <v>35.85</v>
      </c>
      <c r="V10" s="75">
        <v>36.22</v>
      </c>
      <c r="W10" s="75">
        <v>35.630000000000003</v>
      </c>
      <c r="X10" s="75">
        <v>-4.5</v>
      </c>
      <c r="Y10" s="75">
        <v>-4.7</v>
      </c>
      <c r="Z10" s="105">
        <v>-4.9000000000000004</v>
      </c>
      <c r="AA10" s="104">
        <v>17.489999999999998</v>
      </c>
      <c r="AB10" s="75">
        <v>17.809999999999999</v>
      </c>
      <c r="AC10" s="75">
        <v>17.84</v>
      </c>
      <c r="AD10" s="75">
        <v>-1.97</v>
      </c>
      <c r="AE10" s="75">
        <v>-4.2910000000000004</v>
      </c>
      <c r="AF10" s="105">
        <v>-4.9649999999999999</v>
      </c>
    </row>
    <row r="11" spans="2:32" x14ac:dyDescent="0.3">
      <c r="B11" s="111">
        <v>0.99999999999999989</v>
      </c>
      <c r="C11" s="104">
        <v>19.600000000000001</v>
      </c>
      <c r="D11" s="75">
        <v>19.91</v>
      </c>
      <c r="E11" s="75">
        <v>19.600000000000001</v>
      </c>
      <c r="F11" s="75">
        <v>-2.8530000000000002</v>
      </c>
      <c r="G11" s="75">
        <v>-3.1360000000000001</v>
      </c>
      <c r="H11" s="105">
        <v>-2.5880000000000001</v>
      </c>
      <c r="I11" s="104">
        <v>19.510000000000002</v>
      </c>
      <c r="J11" s="75">
        <v>19.809999999999999</v>
      </c>
      <c r="K11" s="75">
        <v>19.600000000000001</v>
      </c>
      <c r="L11" s="75">
        <v>-2.9369999999999998</v>
      </c>
      <c r="M11" s="75">
        <v>-4.7249999999999996</v>
      </c>
      <c r="N11" s="105">
        <v>-3.516</v>
      </c>
      <c r="O11" s="104">
        <v>36.08</v>
      </c>
      <c r="P11" s="75">
        <v>36.15</v>
      </c>
      <c r="Q11" s="75">
        <v>36.01</v>
      </c>
      <c r="R11" s="75">
        <v>0.16200000000000001</v>
      </c>
      <c r="S11" s="75">
        <v>0.22700000000000001</v>
      </c>
      <c r="T11" s="105">
        <v>-0.17399999999999999</v>
      </c>
      <c r="U11" s="104">
        <v>35.92</v>
      </c>
      <c r="V11" s="75">
        <v>36.01</v>
      </c>
      <c r="W11" s="75">
        <v>35.730000000000004</v>
      </c>
      <c r="X11" s="75">
        <v>-4.9269999999999996</v>
      </c>
      <c r="Y11" s="75">
        <v>-4.93</v>
      </c>
      <c r="Z11" s="105">
        <v>-5.2709999999999999</v>
      </c>
      <c r="AA11" s="104">
        <v>17.36</v>
      </c>
      <c r="AB11" s="75">
        <v>17.579999999999998</v>
      </c>
      <c r="AC11" s="75">
        <v>17.59</v>
      </c>
      <c r="AD11" s="75">
        <v>-1.8460000000000001</v>
      </c>
      <c r="AE11" s="75">
        <v>-3.6920000000000002</v>
      </c>
      <c r="AF11" s="105">
        <v>-4.226</v>
      </c>
    </row>
    <row r="12" spans="2:32" x14ac:dyDescent="0.3">
      <c r="B12" s="111">
        <v>1.1666666666666665</v>
      </c>
      <c r="C12" s="104">
        <v>19.46</v>
      </c>
      <c r="D12" s="75">
        <v>19.7</v>
      </c>
      <c r="E12" s="75">
        <v>19.489999999999998</v>
      </c>
      <c r="F12" s="75">
        <v>-2.911</v>
      </c>
      <c r="G12" s="75">
        <v>-3.1850000000000001</v>
      </c>
      <c r="H12" s="105">
        <v>-3.2189999999999999</v>
      </c>
      <c r="I12" s="104">
        <v>19.37</v>
      </c>
      <c r="J12" s="75">
        <v>19.59</v>
      </c>
      <c r="K12" s="75">
        <v>19.37</v>
      </c>
      <c r="L12" s="75">
        <v>-3.036</v>
      </c>
      <c r="M12" s="75">
        <v>-4.1669999999999998</v>
      </c>
      <c r="N12" s="105">
        <v>-3.8380000000000001</v>
      </c>
      <c r="O12" s="104">
        <v>35.68</v>
      </c>
      <c r="P12" s="75">
        <v>35.69</v>
      </c>
      <c r="Q12" s="75">
        <v>35.64</v>
      </c>
      <c r="R12" s="75">
        <v>-0.432</v>
      </c>
      <c r="S12" s="75">
        <v>-0.21</v>
      </c>
      <c r="T12" s="105">
        <v>-0.92400000000000004</v>
      </c>
      <c r="U12" s="104">
        <v>35.71</v>
      </c>
      <c r="V12" s="75">
        <v>35.57</v>
      </c>
      <c r="W12" s="75">
        <v>35.520000000000003</v>
      </c>
      <c r="X12" s="75">
        <v>-4.9269999999999996</v>
      </c>
      <c r="Y12" s="75">
        <v>-4.93</v>
      </c>
      <c r="Z12" s="105">
        <v>-5.2709999999999999</v>
      </c>
      <c r="AA12" s="104">
        <v>17.22</v>
      </c>
      <c r="AB12" s="75">
        <v>17.38</v>
      </c>
      <c r="AC12" s="75">
        <v>17.37</v>
      </c>
      <c r="AD12" s="75">
        <v>-1.786</v>
      </c>
      <c r="AE12" s="75">
        <v>-3.661</v>
      </c>
      <c r="AF12" s="105">
        <v>-3.3580000000000001</v>
      </c>
    </row>
    <row r="13" spans="2:32" x14ac:dyDescent="0.3">
      <c r="B13" s="111">
        <v>1.3333333333333333</v>
      </c>
      <c r="C13" s="104">
        <v>19.32</v>
      </c>
      <c r="D13" s="75">
        <v>19.510000000000002</v>
      </c>
      <c r="E13" s="75">
        <v>19.28</v>
      </c>
      <c r="F13" s="75">
        <v>-3.101</v>
      </c>
      <c r="G13" s="75">
        <v>-2.67</v>
      </c>
      <c r="H13" s="105">
        <v>-2.9289999999999998</v>
      </c>
      <c r="I13" s="104">
        <v>19.23</v>
      </c>
      <c r="J13" s="75">
        <v>19.39</v>
      </c>
      <c r="K13" s="75">
        <v>19.170000000000002</v>
      </c>
      <c r="L13" s="75">
        <v>-3.17</v>
      </c>
      <c r="M13" s="75">
        <v>-4.3620000000000001</v>
      </c>
      <c r="N13" s="105">
        <v>-3.65</v>
      </c>
      <c r="O13" s="104">
        <v>35.33</v>
      </c>
      <c r="P13" s="75">
        <v>35.32</v>
      </c>
      <c r="Q13" s="75">
        <v>35.32</v>
      </c>
      <c r="R13" s="75">
        <v>-0.72599999999999998</v>
      </c>
      <c r="S13" s="75">
        <v>-0.503</v>
      </c>
      <c r="T13" s="105">
        <v>-1.3859999999999999</v>
      </c>
      <c r="U13" s="104">
        <v>35.19</v>
      </c>
      <c r="V13" s="75">
        <v>35.200000000000003</v>
      </c>
      <c r="W13" s="75">
        <v>35</v>
      </c>
      <c r="X13" s="75">
        <v>-4.9260000000000002</v>
      </c>
      <c r="Y13" s="75">
        <v>-5.0220000000000002</v>
      </c>
      <c r="Z13" s="105">
        <v>-5.2629999999999999</v>
      </c>
      <c r="AA13" s="104">
        <v>17.079999999999998</v>
      </c>
      <c r="AB13" s="75">
        <v>17.2</v>
      </c>
      <c r="AC13" s="75">
        <v>17.18</v>
      </c>
      <c r="AD13" s="75">
        <v>-1.946</v>
      </c>
      <c r="AE13" s="75">
        <v>-3.262</v>
      </c>
      <c r="AF13" s="105">
        <v>-2.6739999999999999</v>
      </c>
    </row>
    <row r="14" spans="2:32" x14ac:dyDescent="0.3">
      <c r="B14" s="111">
        <v>1.5</v>
      </c>
      <c r="C14" s="104">
        <v>19.170000000000002</v>
      </c>
      <c r="D14" s="75">
        <v>19.32</v>
      </c>
      <c r="E14" s="75">
        <v>19.079999999999998</v>
      </c>
      <c r="F14" s="75">
        <v>-3.5259999999999998</v>
      </c>
      <c r="G14" s="75">
        <v>-2.6139999999999999</v>
      </c>
      <c r="H14" s="105">
        <v>-3.194</v>
      </c>
      <c r="I14" s="104">
        <v>19.079999999999998</v>
      </c>
      <c r="J14" s="75">
        <v>19.2</v>
      </c>
      <c r="K14" s="75">
        <v>18.96</v>
      </c>
      <c r="L14" s="75">
        <v>-3.302</v>
      </c>
      <c r="M14" s="75">
        <v>-4.6139999999999999</v>
      </c>
      <c r="N14" s="105">
        <v>-3.7010000000000001</v>
      </c>
      <c r="O14" s="104">
        <v>35.04</v>
      </c>
      <c r="P14" s="75">
        <v>35.020000000000003</v>
      </c>
      <c r="Q14" s="75">
        <v>35.03</v>
      </c>
      <c r="R14" s="75">
        <v>-1.236</v>
      </c>
      <c r="S14" s="75">
        <v>-1.569</v>
      </c>
      <c r="T14" s="105">
        <v>-2.1619999999999999</v>
      </c>
      <c r="U14" s="104">
        <v>34.89</v>
      </c>
      <c r="V14" s="75">
        <v>34.9</v>
      </c>
      <c r="W14" s="75">
        <v>34.700000000000003</v>
      </c>
      <c r="X14" s="75">
        <v>-4.9269999999999996</v>
      </c>
      <c r="Y14" s="75">
        <v>-4.93</v>
      </c>
      <c r="Z14" s="105">
        <v>-5.2709999999999999</v>
      </c>
      <c r="AA14" s="104">
        <v>16.940000000000001</v>
      </c>
      <c r="AB14" s="75">
        <v>17.04</v>
      </c>
      <c r="AC14" s="75">
        <v>17.010000000000002</v>
      </c>
      <c r="AD14" s="75">
        <v>-1.589</v>
      </c>
      <c r="AE14" s="75">
        <v>-2.411</v>
      </c>
      <c r="AF14" s="105">
        <v>-2.6640000000000001</v>
      </c>
    </row>
    <row r="15" spans="2:32" x14ac:dyDescent="0.3">
      <c r="B15" s="111">
        <v>1.6666666666666667</v>
      </c>
      <c r="C15" s="104">
        <v>19.010000000000002</v>
      </c>
      <c r="D15" s="75">
        <v>19.14</v>
      </c>
      <c r="E15" s="75">
        <v>18.899999999999999</v>
      </c>
      <c r="F15" s="75">
        <v>-3.5150000000000001</v>
      </c>
      <c r="G15" s="75">
        <v>-2.3210000000000002</v>
      </c>
      <c r="H15" s="105">
        <v>-3.327</v>
      </c>
      <c r="I15" s="104">
        <v>18.920000000000002</v>
      </c>
      <c r="J15" s="75">
        <v>19.02</v>
      </c>
      <c r="K15" s="75">
        <v>18.78</v>
      </c>
      <c r="L15" s="75">
        <v>-3.7650000000000001</v>
      </c>
      <c r="M15" s="75">
        <v>-4.056</v>
      </c>
      <c r="N15" s="105">
        <v>-4.1550000000000002</v>
      </c>
      <c r="O15" s="104">
        <v>34.79</v>
      </c>
      <c r="P15" s="75">
        <v>34.770000000000003</v>
      </c>
      <c r="Q15" s="75">
        <v>34.770000000000003</v>
      </c>
      <c r="R15" s="75">
        <v>-1.8049999999999999</v>
      </c>
      <c r="S15" s="75">
        <v>-1.7450000000000001</v>
      </c>
      <c r="T15" s="105">
        <v>-2.9329999999999998</v>
      </c>
      <c r="U15" s="104">
        <v>34.64</v>
      </c>
      <c r="V15" s="75">
        <v>34.64</v>
      </c>
      <c r="W15" s="75">
        <v>34.4</v>
      </c>
      <c r="X15" s="75">
        <v>-4.9269999999999996</v>
      </c>
      <c r="Y15" s="75">
        <v>-4.93</v>
      </c>
      <c r="Z15" s="105">
        <v>-5.2709999999999999</v>
      </c>
      <c r="AA15" s="104">
        <v>16.79</v>
      </c>
      <c r="AB15" s="75">
        <v>16.86</v>
      </c>
      <c r="AC15" s="75">
        <v>16.84</v>
      </c>
      <c r="AD15" s="75">
        <v>-2.048</v>
      </c>
      <c r="AE15" s="75">
        <v>-2.9710000000000001</v>
      </c>
      <c r="AF15" s="105">
        <v>-2.4750000000000001</v>
      </c>
    </row>
    <row r="16" spans="2:32" x14ac:dyDescent="0.3">
      <c r="B16" s="111">
        <v>1.8333333333333335</v>
      </c>
      <c r="C16" s="104">
        <v>18.86</v>
      </c>
      <c r="D16" s="75">
        <v>18.96</v>
      </c>
      <c r="E16" s="75">
        <v>18.739999999999998</v>
      </c>
      <c r="F16" s="75">
        <v>-3.411</v>
      </c>
      <c r="G16" s="75">
        <v>-2.5289999999999999</v>
      </c>
      <c r="H16" s="105">
        <v>-3.3479999999999999</v>
      </c>
      <c r="I16" s="104">
        <v>18.77</v>
      </c>
      <c r="J16" s="75">
        <v>18.850000000000001</v>
      </c>
      <c r="K16" s="75">
        <v>18.61</v>
      </c>
      <c r="L16" s="75">
        <v>-3.75</v>
      </c>
      <c r="M16" s="75">
        <v>-3.952</v>
      </c>
      <c r="N16" s="105">
        <v>-3.7330000000000001</v>
      </c>
      <c r="O16" s="104">
        <v>34.57</v>
      </c>
      <c r="P16" s="75">
        <v>34.56</v>
      </c>
      <c r="Q16" s="75">
        <v>34.549999999999997</v>
      </c>
      <c r="R16" s="75">
        <v>-2.7909999999999999</v>
      </c>
      <c r="S16" s="75">
        <v>-2.5489999999999999</v>
      </c>
      <c r="T16" s="105">
        <v>-3.09</v>
      </c>
      <c r="U16" s="104">
        <v>34.409999999999997</v>
      </c>
      <c r="V16" s="75">
        <v>34.409999999999997</v>
      </c>
      <c r="W16" s="75">
        <v>34.21</v>
      </c>
      <c r="X16" s="75">
        <v>-5.202</v>
      </c>
      <c r="Y16" s="75">
        <v>-4.6399999999999997</v>
      </c>
      <c r="Z16" s="105">
        <v>-5.0970000000000004</v>
      </c>
      <c r="AA16" s="104">
        <v>16.63</v>
      </c>
      <c r="AB16" s="75">
        <v>16.7</v>
      </c>
      <c r="AC16" s="75">
        <v>16.670000000000002</v>
      </c>
      <c r="AD16" s="75">
        <v>-2.4750000000000001</v>
      </c>
      <c r="AE16" s="75">
        <v>-2.5099999999999998</v>
      </c>
      <c r="AF16" s="105">
        <v>-2.8919999999999999</v>
      </c>
    </row>
    <row r="17" spans="2:32" x14ac:dyDescent="0.3">
      <c r="B17" s="111">
        <v>2</v>
      </c>
      <c r="C17" s="104">
        <v>18.72</v>
      </c>
      <c r="D17" s="75">
        <v>18.8</v>
      </c>
      <c r="E17" s="75">
        <v>18.600000000000001</v>
      </c>
      <c r="F17" s="75">
        <v>-3.3439999999999999</v>
      </c>
      <c r="G17" s="75">
        <v>-3.3330000000000002</v>
      </c>
      <c r="H17" s="105">
        <v>-3.3319999999999999</v>
      </c>
      <c r="I17" s="104">
        <v>18.63</v>
      </c>
      <c r="J17" s="75">
        <v>18.690000000000001</v>
      </c>
      <c r="K17" s="75">
        <v>18.47</v>
      </c>
      <c r="L17" s="75">
        <v>-3.5579999999999998</v>
      </c>
      <c r="M17" s="75">
        <v>-3.9209999999999998</v>
      </c>
      <c r="N17" s="105">
        <v>-3.4649999999999999</v>
      </c>
      <c r="O17" s="104">
        <v>34.39</v>
      </c>
      <c r="P17" s="75">
        <v>34.380000000000003</v>
      </c>
      <c r="Q17" s="75">
        <v>34.380000000000003</v>
      </c>
      <c r="R17" s="75">
        <v>-3.1150000000000002</v>
      </c>
      <c r="S17" s="75">
        <v>-2.9239999999999999</v>
      </c>
      <c r="T17" s="105">
        <v>-3.6859999999999999</v>
      </c>
      <c r="U17" s="104">
        <v>34.229999999999997</v>
      </c>
      <c r="V17" s="75">
        <v>34.22</v>
      </c>
      <c r="W17" s="75">
        <v>34.04</v>
      </c>
      <c r="X17" s="75">
        <v>-4.9269999999999996</v>
      </c>
      <c r="Y17" s="75">
        <v>-4.93</v>
      </c>
      <c r="Z17" s="105">
        <v>-5.2709999999999999</v>
      </c>
      <c r="AA17" s="104">
        <v>16.489999999999998</v>
      </c>
      <c r="AB17" s="75">
        <v>16.54</v>
      </c>
      <c r="AC17" s="75">
        <v>16.53</v>
      </c>
      <c r="AD17" s="75">
        <v>-1.524</v>
      </c>
      <c r="AE17" s="75">
        <v>-2.2669999999999999</v>
      </c>
      <c r="AF17" s="105">
        <v>-1.905</v>
      </c>
    </row>
    <row r="18" spans="2:32" x14ac:dyDescent="0.3">
      <c r="B18" s="111">
        <v>2.1666666666666665</v>
      </c>
      <c r="C18" s="104">
        <v>18.57</v>
      </c>
      <c r="D18" s="75">
        <v>18.63</v>
      </c>
      <c r="E18" s="75">
        <v>18.45</v>
      </c>
      <c r="F18" s="75">
        <v>-3.37</v>
      </c>
      <c r="G18" s="75">
        <v>-3.5379999999999998</v>
      </c>
      <c r="H18" s="105">
        <v>-3.4</v>
      </c>
      <c r="I18" s="104">
        <v>18.48</v>
      </c>
      <c r="J18" s="75">
        <v>18.52</v>
      </c>
      <c r="K18" s="75">
        <v>18.32</v>
      </c>
      <c r="L18" s="75">
        <v>-3.548</v>
      </c>
      <c r="M18" s="75">
        <v>-3.96</v>
      </c>
      <c r="N18" s="105">
        <v>-3.4220000000000002</v>
      </c>
      <c r="O18" s="104">
        <v>34.22</v>
      </c>
      <c r="P18" s="75">
        <v>34.22</v>
      </c>
      <c r="Q18" s="75">
        <v>34.22</v>
      </c>
      <c r="R18" s="75">
        <v>-3.5630000000000002</v>
      </c>
      <c r="S18" s="75">
        <v>-3.524</v>
      </c>
      <c r="T18" s="105">
        <v>-4.484</v>
      </c>
      <c r="U18" s="104">
        <v>34.049999999999997</v>
      </c>
      <c r="V18" s="75">
        <v>34.06</v>
      </c>
      <c r="W18" s="75">
        <v>33.880000000000003</v>
      </c>
      <c r="X18" s="75">
        <v>-4.9269999999999996</v>
      </c>
      <c r="Y18" s="75">
        <v>-4.93</v>
      </c>
      <c r="Z18" s="105">
        <v>-5.2709999999999999</v>
      </c>
      <c r="AA18" s="104">
        <v>16.34</v>
      </c>
      <c r="AB18" s="75">
        <v>16.399999999999999</v>
      </c>
      <c r="AC18" s="75">
        <v>16.38</v>
      </c>
      <c r="AD18" s="75">
        <v>-2.5459999999999998</v>
      </c>
      <c r="AE18" s="75">
        <v>-1.9470000000000001</v>
      </c>
      <c r="AF18" s="105">
        <v>-2.2210000000000001</v>
      </c>
    </row>
    <row r="19" spans="2:32" x14ac:dyDescent="0.3">
      <c r="B19" s="111">
        <v>2.333333333333333</v>
      </c>
      <c r="C19" s="104">
        <v>18.43</v>
      </c>
      <c r="D19" s="75">
        <v>18.47</v>
      </c>
      <c r="E19" s="75">
        <v>18.309999999999999</v>
      </c>
      <c r="F19" s="75">
        <v>-3.2320000000000002</v>
      </c>
      <c r="G19" s="75">
        <v>-3.94</v>
      </c>
      <c r="H19" s="105">
        <v>-3.4249999999999998</v>
      </c>
      <c r="I19" s="104">
        <v>18.34</v>
      </c>
      <c r="J19" s="75">
        <v>18.36</v>
      </c>
      <c r="K19" s="75">
        <v>18.18</v>
      </c>
      <c r="L19" s="75">
        <v>-3.4460000000000002</v>
      </c>
      <c r="M19" s="75">
        <v>-3.9980000000000002</v>
      </c>
      <c r="N19" s="105">
        <v>-3.5289999999999999</v>
      </c>
      <c r="O19" s="104">
        <v>34.07</v>
      </c>
      <c r="P19" s="75">
        <v>34.06</v>
      </c>
      <c r="Q19" s="75">
        <v>34.06</v>
      </c>
      <c r="R19" s="75">
        <v>-4.1109999999999998</v>
      </c>
      <c r="S19" s="75">
        <v>-4.2229999999999999</v>
      </c>
      <c r="T19" s="105">
        <v>-5.0289999999999999</v>
      </c>
      <c r="U19" s="104">
        <v>33.9</v>
      </c>
      <c r="V19" s="75">
        <v>33.9</v>
      </c>
      <c r="W19" s="75">
        <v>33.729999999999997</v>
      </c>
      <c r="X19" s="75">
        <v>-4.6890000000000001</v>
      </c>
      <c r="Y19" s="75">
        <v>-4.97</v>
      </c>
      <c r="Z19" s="105">
        <v>-5.2670000000000003</v>
      </c>
      <c r="AA19" s="104">
        <v>16.2</v>
      </c>
      <c r="AB19" s="75">
        <v>16.27</v>
      </c>
      <c r="AC19" s="75">
        <v>16.25</v>
      </c>
      <c r="AD19" s="75">
        <v>-1.8580000000000001</v>
      </c>
      <c r="AE19" s="75">
        <v>-1.9019999999999999</v>
      </c>
      <c r="AF19" s="105">
        <v>-1.77</v>
      </c>
    </row>
    <row r="20" spans="2:32" x14ac:dyDescent="0.3">
      <c r="B20" s="111">
        <v>2.4999999999999996</v>
      </c>
      <c r="C20" s="104">
        <v>18.28</v>
      </c>
      <c r="D20" s="75">
        <v>18.309999999999999</v>
      </c>
      <c r="E20" s="75">
        <v>18.16</v>
      </c>
      <c r="F20" s="75">
        <v>-3.37</v>
      </c>
      <c r="G20" s="75">
        <v>-3.49</v>
      </c>
      <c r="H20" s="105">
        <v>-3.5630000000000002</v>
      </c>
      <c r="I20" s="104">
        <v>18.2</v>
      </c>
      <c r="J20" s="75">
        <v>18.2</v>
      </c>
      <c r="K20" s="75">
        <v>18.04</v>
      </c>
      <c r="L20" s="75">
        <v>-3.4590000000000001</v>
      </c>
      <c r="M20" s="75">
        <v>-3.9079999999999999</v>
      </c>
      <c r="N20" s="105">
        <v>-3.355</v>
      </c>
      <c r="O20" s="104">
        <v>33.92</v>
      </c>
      <c r="P20" s="75">
        <v>33.93</v>
      </c>
      <c r="Q20" s="75">
        <v>33.909999999999997</v>
      </c>
      <c r="R20" s="75">
        <v>-5.298</v>
      </c>
      <c r="S20" s="75">
        <v>-4.5090000000000003</v>
      </c>
      <c r="T20" s="105">
        <v>-5.4210000000000003</v>
      </c>
      <c r="U20" s="104">
        <v>33.75</v>
      </c>
      <c r="V20" s="75">
        <v>33.770000000000003</v>
      </c>
      <c r="W20" s="75">
        <v>33.590000000000003</v>
      </c>
      <c r="X20" s="75">
        <v>-4.9269999999999996</v>
      </c>
      <c r="Y20" s="75">
        <v>-4.93</v>
      </c>
      <c r="Z20" s="105">
        <v>-5.2709999999999999</v>
      </c>
      <c r="AA20" s="104">
        <v>16.05</v>
      </c>
      <c r="AB20" s="75">
        <v>16.11</v>
      </c>
      <c r="AC20" s="75">
        <v>16.100000000000001</v>
      </c>
      <c r="AD20" s="75">
        <v>-2.2149999999999999</v>
      </c>
      <c r="AE20" s="75">
        <v>-2.3039999999999998</v>
      </c>
      <c r="AF20" s="105">
        <v>-1.768</v>
      </c>
    </row>
    <row r="21" spans="2:32" x14ac:dyDescent="0.3">
      <c r="B21" s="111">
        <v>2.6666666666666661</v>
      </c>
      <c r="C21" s="104">
        <v>18.13</v>
      </c>
      <c r="D21" s="75">
        <v>18.149999999999999</v>
      </c>
      <c r="E21" s="75">
        <v>18</v>
      </c>
      <c r="F21" s="75">
        <v>-3.8279999999999998</v>
      </c>
      <c r="G21" s="75">
        <v>-3.4620000000000002</v>
      </c>
      <c r="H21" s="105">
        <v>-3.9220000000000002</v>
      </c>
      <c r="I21" s="104">
        <v>18.05</v>
      </c>
      <c r="J21" s="75">
        <v>18.04</v>
      </c>
      <c r="K21" s="75">
        <v>17.88</v>
      </c>
      <c r="L21" s="75">
        <v>-3.5510000000000002</v>
      </c>
      <c r="M21" s="75">
        <v>-3.9350000000000001</v>
      </c>
      <c r="N21" s="105">
        <v>-3.5430000000000001</v>
      </c>
      <c r="O21" s="104">
        <v>33.79</v>
      </c>
      <c r="P21" s="75">
        <v>33.79</v>
      </c>
      <c r="Q21" s="75">
        <v>33.770000000000003</v>
      </c>
      <c r="R21" s="75">
        <v>-4.351</v>
      </c>
      <c r="S21" s="75">
        <v>-4.8710000000000004</v>
      </c>
      <c r="T21" s="105">
        <v>-5.4720000000000004</v>
      </c>
      <c r="U21" s="104">
        <v>33.619999999999997</v>
      </c>
      <c r="V21" s="75">
        <v>33.630000000000003</v>
      </c>
      <c r="W21" s="75">
        <v>33.43</v>
      </c>
      <c r="X21" s="75">
        <v>-4.6980000000000004</v>
      </c>
      <c r="Y21" s="75">
        <v>-5.1779999999999999</v>
      </c>
      <c r="Z21" s="105">
        <v>-5.9279999999999999</v>
      </c>
      <c r="AA21" s="104">
        <v>15.91</v>
      </c>
      <c r="AB21" s="75">
        <v>15.98</v>
      </c>
      <c r="AC21" s="75">
        <v>15.97</v>
      </c>
      <c r="AD21" s="75">
        <v>-2.5139999999999998</v>
      </c>
      <c r="AE21" s="75">
        <v>-1.8089999999999999</v>
      </c>
      <c r="AF21" s="105">
        <v>-1.575</v>
      </c>
    </row>
    <row r="22" spans="2:32" x14ac:dyDescent="0.3">
      <c r="B22" s="111">
        <v>2.8333333333333326</v>
      </c>
      <c r="C22" s="104">
        <v>17.97</v>
      </c>
      <c r="D22" s="75">
        <v>17.989999999999998</v>
      </c>
      <c r="E22" s="75">
        <v>17.86</v>
      </c>
      <c r="F22" s="75">
        <v>-3.802</v>
      </c>
      <c r="G22" s="75">
        <v>-3.5270000000000001</v>
      </c>
      <c r="H22" s="105">
        <v>-3.7290000000000001</v>
      </c>
      <c r="I22" s="104">
        <v>17.89</v>
      </c>
      <c r="J22" s="75">
        <v>17.88</v>
      </c>
      <c r="K22" s="75">
        <v>17.739999999999998</v>
      </c>
      <c r="L22" s="75">
        <v>-4.0789999999999997</v>
      </c>
      <c r="M22" s="75">
        <v>-4.0519999999999996</v>
      </c>
      <c r="N22" s="105">
        <v>-3.9849999999999999</v>
      </c>
      <c r="O22" s="104">
        <v>33.630000000000003</v>
      </c>
      <c r="P22" s="75">
        <v>33.64</v>
      </c>
      <c r="Q22" s="75">
        <v>33.61</v>
      </c>
      <c r="R22" s="75">
        <v>-5.09</v>
      </c>
      <c r="S22" s="75">
        <v>-5.1100000000000003</v>
      </c>
      <c r="T22" s="105">
        <v>-5.5979999999999999</v>
      </c>
      <c r="U22" s="104">
        <v>33.47</v>
      </c>
      <c r="V22" s="75">
        <v>33.49</v>
      </c>
      <c r="W22" s="75">
        <v>33.29</v>
      </c>
      <c r="X22" s="75">
        <v>-5.1230000000000002</v>
      </c>
      <c r="Y22" s="75">
        <v>-5.5140000000000002</v>
      </c>
      <c r="Z22" s="105">
        <v>-5.64</v>
      </c>
      <c r="AA22" s="104">
        <v>15.76</v>
      </c>
      <c r="AB22" s="75">
        <v>15.83</v>
      </c>
      <c r="AC22" s="75">
        <v>15.81</v>
      </c>
      <c r="AD22" s="75">
        <v>-2.214</v>
      </c>
      <c r="AE22" s="75">
        <v>-3.0550000000000002</v>
      </c>
      <c r="AF22" s="105">
        <v>-2.4580000000000002</v>
      </c>
    </row>
    <row r="23" spans="2:32" x14ac:dyDescent="0.3">
      <c r="B23" s="111">
        <v>2.9999999999999991</v>
      </c>
      <c r="C23" s="104">
        <v>17.82</v>
      </c>
      <c r="D23" s="75">
        <v>17.850000000000001</v>
      </c>
      <c r="E23" s="75">
        <v>17.690000000000001</v>
      </c>
      <c r="F23" s="75">
        <v>-3.6640000000000001</v>
      </c>
      <c r="G23" s="75">
        <v>-3.5840000000000001</v>
      </c>
      <c r="H23" s="105">
        <v>-3.8439999999999999</v>
      </c>
      <c r="I23" s="104">
        <v>17.73</v>
      </c>
      <c r="J23" s="75">
        <v>17.73</v>
      </c>
      <c r="K23" s="75">
        <v>17.579999999999998</v>
      </c>
      <c r="L23" s="75">
        <v>-3.8410000000000002</v>
      </c>
      <c r="M23" s="75">
        <v>-3.7909999999999999</v>
      </c>
      <c r="N23" s="105">
        <v>-3.5859999999999999</v>
      </c>
      <c r="O23" s="104">
        <v>33.47</v>
      </c>
      <c r="P23" s="75">
        <v>33.479999999999997</v>
      </c>
      <c r="Q23" s="75">
        <v>33.46</v>
      </c>
      <c r="R23" s="75">
        <v>-4.9770000000000003</v>
      </c>
      <c r="S23" s="75">
        <v>-5.1719999999999997</v>
      </c>
      <c r="T23" s="105">
        <v>-5.7869999999999999</v>
      </c>
      <c r="U23" s="104">
        <v>33.32</v>
      </c>
      <c r="V23" s="75">
        <v>33.340000000000003</v>
      </c>
      <c r="W23" s="75">
        <v>33.130000000000003</v>
      </c>
      <c r="X23" s="75">
        <v>-5.2</v>
      </c>
      <c r="Y23" s="75">
        <v>-5.657</v>
      </c>
      <c r="Z23" s="105">
        <v>-5.774</v>
      </c>
      <c r="AA23" s="104">
        <v>15.6</v>
      </c>
      <c r="AB23" s="75">
        <v>15.68</v>
      </c>
      <c r="AC23" s="75">
        <v>15.67</v>
      </c>
      <c r="AD23" s="75">
        <v>-2.2829999999999999</v>
      </c>
      <c r="AE23" s="75">
        <v>-2.0150000000000001</v>
      </c>
      <c r="AF23" s="105">
        <v>-1.899</v>
      </c>
    </row>
    <row r="24" spans="2:32" x14ac:dyDescent="0.3">
      <c r="B24" s="111">
        <v>3.1666666666666656</v>
      </c>
      <c r="C24" s="104">
        <v>17.68</v>
      </c>
      <c r="D24" s="75">
        <v>17.7</v>
      </c>
      <c r="E24" s="75">
        <v>17.54</v>
      </c>
      <c r="F24" s="75">
        <v>-3.3860000000000001</v>
      </c>
      <c r="G24" s="75">
        <v>-3.6160000000000001</v>
      </c>
      <c r="H24" s="105">
        <v>-3.66</v>
      </c>
      <c r="I24" s="104">
        <v>17.59</v>
      </c>
      <c r="J24" s="75">
        <v>17.579999999999998</v>
      </c>
      <c r="K24" s="75">
        <v>17.420000000000002</v>
      </c>
      <c r="L24" s="75">
        <v>-3.831</v>
      </c>
      <c r="M24" s="75">
        <v>-3.847</v>
      </c>
      <c r="N24" s="105">
        <v>-3.8679999999999999</v>
      </c>
      <c r="O24" s="104">
        <v>33.33</v>
      </c>
      <c r="P24" s="75">
        <v>33.331000000000003</v>
      </c>
      <c r="Q24" s="75">
        <v>33.313000000000002</v>
      </c>
      <c r="R24" s="75">
        <v>-4.62</v>
      </c>
      <c r="S24" s="75">
        <v>-4.8689999999999998</v>
      </c>
      <c r="T24" s="105">
        <v>-5.5519999999999996</v>
      </c>
      <c r="U24" s="104">
        <v>33.18</v>
      </c>
      <c r="V24" s="75">
        <v>33.200000000000003</v>
      </c>
      <c r="W24" s="75">
        <v>32.979999999999997</v>
      </c>
      <c r="X24" s="75">
        <v>-4.9550000000000001</v>
      </c>
      <c r="Y24" s="75">
        <v>-5.3680000000000003</v>
      </c>
      <c r="Z24" s="105">
        <v>-5.4770000000000003</v>
      </c>
      <c r="AA24" s="104">
        <v>15.45</v>
      </c>
      <c r="AB24" s="75">
        <v>15.51</v>
      </c>
      <c r="AC24" s="75">
        <v>15.52</v>
      </c>
      <c r="AD24" s="75">
        <v>-2.085</v>
      </c>
      <c r="AE24" s="75">
        <v>-2.1920000000000002</v>
      </c>
      <c r="AF24" s="105">
        <v>-1.845</v>
      </c>
    </row>
    <row r="25" spans="2:32" x14ac:dyDescent="0.3">
      <c r="B25" s="111">
        <v>3.3333333333333321</v>
      </c>
      <c r="C25" s="104">
        <v>17.54</v>
      </c>
      <c r="D25" s="75">
        <v>17.559999999999999</v>
      </c>
      <c r="E25" s="75">
        <v>17.399999999999999</v>
      </c>
      <c r="F25" s="75">
        <v>-3.3809999999999998</v>
      </c>
      <c r="G25" s="75">
        <v>-3.4540000000000002</v>
      </c>
      <c r="H25" s="105">
        <v>-3.15</v>
      </c>
      <c r="I25" s="104">
        <v>17.45</v>
      </c>
      <c r="J25" s="75">
        <v>17.440000000000001</v>
      </c>
      <c r="K25" s="75">
        <v>17.29</v>
      </c>
      <c r="L25" s="75">
        <v>-3.5350000000000001</v>
      </c>
      <c r="M25" s="75">
        <v>-3.5910000000000002</v>
      </c>
      <c r="N25" s="105">
        <v>-3.8690000000000002</v>
      </c>
      <c r="O25" s="104">
        <v>33.19</v>
      </c>
      <c r="P25" s="75">
        <v>33.180999999999997</v>
      </c>
      <c r="Q25" s="75">
        <v>33.165999999999997</v>
      </c>
      <c r="R25" s="75">
        <v>-4.4580000000000002</v>
      </c>
      <c r="S25" s="75">
        <v>-4.7140000000000004</v>
      </c>
      <c r="T25" s="105">
        <v>-5.3949999999999996</v>
      </c>
      <c r="U25" s="104">
        <v>33.04</v>
      </c>
      <c r="V25" s="75">
        <v>33.06</v>
      </c>
      <c r="W25" s="75">
        <v>32.83</v>
      </c>
      <c r="X25" s="75">
        <v>-4.6980000000000004</v>
      </c>
      <c r="Y25" s="75">
        <v>-5.3449999999999998</v>
      </c>
      <c r="Z25" s="105">
        <v>-5.2060000000000004</v>
      </c>
      <c r="AA25" s="104">
        <v>15.3</v>
      </c>
      <c r="AB25" s="75">
        <v>15.38</v>
      </c>
      <c r="AC25" s="75">
        <v>15.37</v>
      </c>
      <c r="AD25" s="75">
        <v>-1.7769999999999999</v>
      </c>
      <c r="AE25" s="75">
        <v>-1.8720000000000001</v>
      </c>
      <c r="AF25" s="105">
        <v>-2.3839999999999999</v>
      </c>
    </row>
    <row r="26" spans="2:32" x14ac:dyDescent="0.3">
      <c r="B26" s="111">
        <v>3.4999999999999987</v>
      </c>
      <c r="C26" s="104">
        <v>17.399999999999999</v>
      </c>
      <c r="D26" s="75">
        <v>17.41</v>
      </c>
      <c r="E26" s="75">
        <v>17.27</v>
      </c>
      <c r="F26" s="75">
        <v>-3.516</v>
      </c>
      <c r="G26" s="75">
        <v>-3.6779999999999999</v>
      </c>
      <c r="H26" s="105">
        <v>-3.2069999999999999</v>
      </c>
      <c r="I26" s="104">
        <v>17.309999999999999</v>
      </c>
      <c r="J26" s="75">
        <v>17.29</v>
      </c>
      <c r="K26" s="75">
        <v>17.149999999999999</v>
      </c>
      <c r="L26" s="75">
        <v>-3.4630000000000001</v>
      </c>
      <c r="M26" s="75">
        <v>-3.5350000000000001</v>
      </c>
      <c r="N26" s="105">
        <v>-3.17</v>
      </c>
      <c r="O26" s="104">
        <v>33.06</v>
      </c>
      <c r="P26" s="75">
        <v>33.036000000000001</v>
      </c>
      <c r="Q26" s="75">
        <v>33.015000000000001</v>
      </c>
      <c r="R26" s="75">
        <v>-4.4630000000000001</v>
      </c>
      <c r="S26" s="75">
        <v>-4.6120000000000001</v>
      </c>
      <c r="T26" s="105">
        <v>-5.383</v>
      </c>
      <c r="U26" s="104">
        <v>32.909999999999997</v>
      </c>
      <c r="V26" s="75">
        <v>32.93</v>
      </c>
      <c r="W26" s="75">
        <v>32.700000000000003</v>
      </c>
      <c r="X26" s="75">
        <v>-4.6120000000000001</v>
      </c>
      <c r="Y26" s="75">
        <v>-5.242</v>
      </c>
      <c r="Z26" s="105">
        <v>-4.7889999999999997</v>
      </c>
      <c r="AA26" s="104">
        <v>15.16</v>
      </c>
      <c r="AB26" s="75">
        <v>15.23</v>
      </c>
      <c r="AC26" s="75">
        <v>15.23</v>
      </c>
      <c r="AD26" s="75">
        <v>-1.7250000000000001</v>
      </c>
      <c r="AE26" s="75">
        <v>-2.3010000000000002</v>
      </c>
      <c r="AF26" s="105">
        <v>-1.8640000000000001</v>
      </c>
    </row>
    <row r="27" spans="2:32" x14ac:dyDescent="0.3">
      <c r="B27" s="111">
        <v>3.6666666666666652</v>
      </c>
      <c r="C27" s="104">
        <v>17.260000000000002</v>
      </c>
      <c r="D27" s="75">
        <v>17.27</v>
      </c>
      <c r="E27" s="75">
        <v>17.13</v>
      </c>
      <c r="F27" s="75">
        <v>-3.3660000000000001</v>
      </c>
      <c r="G27" s="75">
        <v>-3.5209999999999999</v>
      </c>
      <c r="H27" s="105">
        <v>-3.4780000000000002</v>
      </c>
      <c r="I27" s="104">
        <v>17.170000000000002</v>
      </c>
      <c r="J27" s="75">
        <v>17.149999999999999</v>
      </c>
      <c r="K27" s="75">
        <v>17.010000000000002</v>
      </c>
      <c r="L27" s="75">
        <v>-3.6190000000000002</v>
      </c>
      <c r="M27" s="75">
        <v>-3.7069999999999999</v>
      </c>
      <c r="N27" s="105">
        <v>-3.0070000000000001</v>
      </c>
      <c r="O27" s="104">
        <v>32.92</v>
      </c>
      <c r="P27" s="75">
        <v>32.881999999999998</v>
      </c>
      <c r="Q27" s="75">
        <v>32.872</v>
      </c>
      <c r="R27" s="75">
        <v>-4.4729999999999999</v>
      </c>
      <c r="S27" s="75">
        <v>-4.2460000000000004</v>
      </c>
      <c r="T27" s="105">
        <v>-5.3579999999999997</v>
      </c>
      <c r="U27" s="104">
        <v>32.78</v>
      </c>
      <c r="V27" s="75">
        <v>32.79</v>
      </c>
      <c r="W27" s="75">
        <v>32.58</v>
      </c>
      <c r="X27" s="75">
        <v>-4.7169999999999996</v>
      </c>
      <c r="Y27" s="75">
        <v>-5.0659999999999998</v>
      </c>
      <c r="Z27" s="105">
        <v>-4.601</v>
      </c>
      <c r="AA27" s="104">
        <v>15.02</v>
      </c>
      <c r="AB27" s="75">
        <v>15.09</v>
      </c>
      <c r="AC27" s="75">
        <v>15.09</v>
      </c>
      <c r="AD27" s="75">
        <v>-1.591</v>
      </c>
      <c r="AE27" s="75">
        <v>-2.1640000000000001</v>
      </c>
      <c r="AF27" s="105">
        <v>-1.9550000000000001</v>
      </c>
    </row>
    <row r="28" spans="2:32" x14ac:dyDescent="0.3">
      <c r="B28" s="111">
        <v>3.8333333333333317</v>
      </c>
      <c r="C28" s="104">
        <v>17.11</v>
      </c>
      <c r="D28" s="75">
        <v>17.13</v>
      </c>
      <c r="E28" s="75">
        <v>16.989999999999998</v>
      </c>
      <c r="F28" s="75">
        <v>-3.621</v>
      </c>
      <c r="G28" s="75">
        <v>-3.512</v>
      </c>
      <c r="H28" s="105">
        <v>-3.87</v>
      </c>
      <c r="I28" s="104">
        <v>17.03</v>
      </c>
      <c r="J28" s="75">
        <v>17.010000000000002</v>
      </c>
      <c r="K28" s="75">
        <v>16.87</v>
      </c>
      <c r="L28" s="75">
        <v>-3.306</v>
      </c>
      <c r="M28" s="75">
        <v>-3.339</v>
      </c>
      <c r="N28" s="105">
        <v>-3.399</v>
      </c>
      <c r="O28" s="104">
        <v>32.770000000000003</v>
      </c>
      <c r="P28" s="75">
        <v>32.732999999999997</v>
      </c>
      <c r="Q28" s="75">
        <v>32.725000000000001</v>
      </c>
      <c r="R28" s="75">
        <v>-4.5270000000000001</v>
      </c>
      <c r="S28" s="75">
        <v>-4.5220000000000002</v>
      </c>
      <c r="T28" s="105">
        <v>-4.915</v>
      </c>
      <c r="U28" s="104">
        <v>32.64</v>
      </c>
      <c r="V28" s="75">
        <v>32.65</v>
      </c>
      <c r="W28" s="75">
        <v>32.44</v>
      </c>
      <c r="X28" s="75">
        <v>-4.9290000000000003</v>
      </c>
      <c r="Y28" s="75">
        <v>-5.46</v>
      </c>
      <c r="Z28" s="105">
        <v>-4.8600000000000003</v>
      </c>
      <c r="AA28" s="104">
        <v>14.89</v>
      </c>
      <c r="AB28" s="75">
        <v>14.95</v>
      </c>
      <c r="AC28" s="75">
        <v>14.94</v>
      </c>
      <c r="AD28" s="75">
        <v>-1.8959999999999999</v>
      </c>
      <c r="AE28" s="75">
        <v>-1.58</v>
      </c>
      <c r="AF28" s="105">
        <v>-1.9830000000000001</v>
      </c>
    </row>
    <row r="29" spans="2:32" x14ac:dyDescent="0.3">
      <c r="B29" s="111">
        <v>3.9999999999999982</v>
      </c>
      <c r="C29" s="104">
        <v>16.97</v>
      </c>
      <c r="D29" s="75">
        <v>16.97</v>
      </c>
      <c r="E29" s="75">
        <v>16.829999999999998</v>
      </c>
      <c r="F29" s="75">
        <v>-3.6269999999999998</v>
      </c>
      <c r="G29" s="75">
        <v>-3.927</v>
      </c>
      <c r="H29" s="105">
        <v>-4.0279999999999996</v>
      </c>
      <c r="I29" s="104">
        <v>16.89</v>
      </c>
      <c r="J29" s="75">
        <v>16.850000000000001</v>
      </c>
      <c r="K29" s="75">
        <v>16.71</v>
      </c>
      <c r="L29" s="75">
        <v>-3.6030000000000002</v>
      </c>
      <c r="M29" s="75">
        <v>-3.621</v>
      </c>
      <c r="N29" s="105">
        <v>-3.7989999999999999</v>
      </c>
      <c r="O29" s="104">
        <v>32.630000000000003</v>
      </c>
      <c r="P29" s="75">
        <v>32.587000000000003</v>
      </c>
      <c r="Q29" s="75">
        <v>32.576000000000001</v>
      </c>
      <c r="R29" s="75">
        <v>-4.26</v>
      </c>
      <c r="S29" s="75">
        <v>-4.2759999999999998</v>
      </c>
      <c r="T29" s="105">
        <v>-5.2190000000000003</v>
      </c>
      <c r="U29" s="104">
        <v>32.5</v>
      </c>
      <c r="V29" s="75">
        <v>32.51</v>
      </c>
      <c r="W29" s="75">
        <v>32.295999999999999</v>
      </c>
      <c r="X29" s="75">
        <v>-4.8849999999999998</v>
      </c>
      <c r="Y29" s="75">
        <v>-5.4720000000000004</v>
      </c>
      <c r="Z29" s="105">
        <v>-4.8449999999999998</v>
      </c>
      <c r="AA29" s="104">
        <v>14.74</v>
      </c>
      <c r="AB29" s="75">
        <v>14.81</v>
      </c>
      <c r="AC29" s="75">
        <v>14.81</v>
      </c>
      <c r="AD29" s="75">
        <v>-1.4590000000000001</v>
      </c>
      <c r="AE29" s="75">
        <v>-1.7849999999999999</v>
      </c>
      <c r="AF29" s="105">
        <v>-1.68</v>
      </c>
    </row>
    <row r="30" spans="2:32" x14ac:dyDescent="0.3">
      <c r="B30" s="111">
        <v>4.1666666666666652</v>
      </c>
      <c r="C30" s="104">
        <v>16.8</v>
      </c>
      <c r="D30" s="75">
        <v>16.82</v>
      </c>
      <c r="E30" s="75">
        <v>16.670000000000002</v>
      </c>
      <c r="F30" s="75">
        <v>-4.1130000000000004</v>
      </c>
      <c r="G30" s="75">
        <v>-3.855</v>
      </c>
      <c r="H30" s="105">
        <v>-3.9340000000000002</v>
      </c>
      <c r="I30" s="104">
        <v>16.72</v>
      </c>
      <c r="J30" s="75">
        <v>16.7</v>
      </c>
      <c r="K30" s="75">
        <v>16.55</v>
      </c>
      <c r="L30" s="75">
        <v>-3.613</v>
      </c>
      <c r="M30" s="75">
        <v>-3.9929999999999999</v>
      </c>
      <c r="N30" s="105">
        <v>-3.855</v>
      </c>
      <c r="O30" s="104">
        <v>32.47</v>
      </c>
      <c r="P30" s="75">
        <v>32.433999999999997</v>
      </c>
      <c r="Q30" s="75">
        <v>32.430999999999997</v>
      </c>
      <c r="R30" s="75">
        <v>-4.5830000000000002</v>
      </c>
      <c r="S30" s="75">
        <v>-4.0090000000000003</v>
      </c>
      <c r="T30" s="105">
        <v>-5.2610000000000001</v>
      </c>
      <c r="U30" s="104">
        <v>32.35</v>
      </c>
      <c r="V30" s="75">
        <v>32.36</v>
      </c>
      <c r="W30" s="75">
        <v>32.152999999999999</v>
      </c>
      <c r="X30" s="75">
        <v>-5.4379999999999997</v>
      </c>
      <c r="Y30" s="75">
        <v>-5.5410000000000004</v>
      </c>
      <c r="Z30" s="105">
        <v>-4.83</v>
      </c>
      <c r="AA30" s="104">
        <v>14.59</v>
      </c>
      <c r="AB30" s="75">
        <v>14.64</v>
      </c>
      <c r="AC30" s="75">
        <v>14.65</v>
      </c>
      <c r="AD30" s="75">
        <v>-2.552</v>
      </c>
      <c r="AE30" s="75">
        <v>-2.1789999999999998</v>
      </c>
      <c r="AF30" s="105">
        <v>-2.6960000000000002</v>
      </c>
    </row>
    <row r="31" spans="2:32" x14ac:dyDescent="0.3">
      <c r="B31" s="111">
        <v>4.3333333333333321</v>
      </c>
      <c r="C31" s="104">
        <v>16.649999999999999</v>
      </c>
      <c r="D31" s="75">
        <v>16.670000000000002</v>
      </c>
      <c r="E31" s="75">
        <v>16.53</v>
      </c>
      <c r="F31" s="75">
        <v>-3.7530000000000001</v>
      </c>
      <c r="G31" s="75">
        <v>-3.7639999999999998</v>
      </c>
      <c r="H31" s="105">
        <v>-3.7570000000000001</v>
      </c>
      <c r="I31" s="104">
        <v>16.57</v>
      </c>
      <c r="J31" s="75">
        <v>16.55</v>
      </c>
      <c r="K31" s="75">
        <v>16.420000000000002</v>
      </c>
      <c r="L31" s="75">
        <v>-4.1139999999999999</v>
      </c>
      <c r="M31" s="75">
        <v>-3.9260000000000002</v>
      </c>
      <c r="N31" s="105">
        <v>-3.8250000000000002</v>
      </c>
      <c r="O31" s="104">
        <v>32.32</v>
      </c>
      <c r="P31" s="75">
        <v>32.284999999999997</v>
      </c>
      <c r="Q31" s="75">
        <v>32.283999999999999</v>
      </c>
      <c r="R31" s="75">
        <v>-4.2009999999999996</v>
      </c>
      <c r="S31" s="75">
        <v>-3.75</v>
      </c>
      <c r="T31" s="105">
        <v>-4.7320000000000002</v>
      </c>
      <c r="U31" s="104">
        <v>32.200000000000003</v>
      </c>
      <c r="V31" s="75">
        <v>32.21</v>
      </c>
      <c r="W31" s="75">
        <v>32.002000000000002</v>
      </c>
      <c r="X31" s="75">
        <v>-5.1929999999999996</v>
      </c>
      <c r="Y31" s="75">
        <v>-5.5910000000000002</v>
      </c>
      <c r="Z31" s="105">
        <v>-5.226</v>
      </c>
      <c r="AA31" s="104">
        <v>14.43</v>
      </c>
      <c r="AB31" s="75">
        <v>14.49</v>
      </c>
      <c r="AC31" s="75">
        <v>14.5</v>
      </c>
      <c r="AD31" s="75">
        <v>-2.0830000000000002</v>
      </c>
      <c r="AE31" s="75">
        <v>-2.37</v>
      </c>
      <c r="AF31" s="105">
        <v>-2.052</v>
      </c>
    </row>
    <row r="32" spans="2:32" x14ac:dyDescent="0.3">
      <c r="B32" s="111">
        <v>4.4999999999999991</v>
      </c>
      <c r="C32" s="104">
        <v>16.489999999999998</v>
      </c>
      <c r="D32" s="75">
        <v>16.53</v>
      </c>
      <c r="E32" s="75">
        <v>16.39</v>
      </c>
      <c r="F32" s="75">
        <v>-3.7330000000000001</v>
      </c>
      <c r="G32" s="75">
        <v>-3.6890000000000001</v>
      </c>
      <c r="H32" s="105">
        <v>-3.629</v>
      </c>
      <c r="I32" s="104">
        <v>16.420000000000002</v>
      </c>
      <c r="J32" s="75">
        <v>16.41</v>
      </c>
      <c r="K32" s="75">
        <v>16.27</v>
      </c>
      <c r="L32" s="75">
        <v>-3.6739999999999999</v>
      </c>
      <c r="M32" s="75">
        <v>-3.863</v>
      </c>
      <c r="N32" s="105">
        <v>-3.3580000000000001</v>
      </c>
      <c r="O32" s="104">
        <v>32.18</v>
      </c>
      <c r="P32" s="75">
        <v>32.14</v>
      </c>
      <c r="Q32" s="75">
        <v>32.137</v>
      </c>
      <c r="R32" s="75">
        <v>-3.6869999999999998</v>
      </c>
      <c r="S32" s="75">
        <v>-3.6869999999999998</v>
      </c>
      <c r="T32" s="105">
        <v>-5.0279999999999996</v>
      </c>
      <c r="U32" s="104">
        <v>32.07</v>
      </c>
      <c r="V32" s="75">
        <v>32.06</v>
      </c>
      <c r="W32" s="75">
        <v>31.866</v>
      </c>
      <c r="X32" s="75">
        <v>-4.7690000000000001</v>
      </c>
      <c r="Y32" s="75">
        <v>-5.5449999999999999</v>
      </c>
      <c r="Z32" s="105">
        <v>-4.8010000000000002</v>
      </c>
      <c r="AA32" s="104">
        <v>14.28</v>
      </c>
      <c r="AB32" s="75">
        <v>14.34</v>
      </c>
      <c r="AC32" s="75">
        <v>14.34</v>
      </c>
      <c r="AD32" s="75">
        <v>-2.4649999999999999</v>
      </c>
      <c r="AE32" s="75">
        <v>-1.857</v>
      </c>
      <c r="AF32" s="105">
        <v>-2.4020000000000001</v>
      </c>
    </row>
    <row r="33" spans="2:32" x14ac:dyDescent="0.3">
      <c r="B33" s="111">
        <v>4.6666666666666661</v>
      </c>
      <c r="C33" s="104">
        <v>16.350000000000001</v>
      </c>
      <c r="D33" s="75">
        <v>16.38</v>
      </c>
      <c r="E33" s="75">
        <v>16.25</v>
      </c>
      <c r="F33" s="75">
        <v>-3.6120000000000001</v>
      </c>
      <c r="G33" s="75">
        <v>-3.7650000000000001</v>
      </c>
      <c r="H33" s="105">
        <v>-3.8380000000000001</v>
      </c>
      <c r="I33" s="104">
        <v>16.28</v>
      </c>
      <c r="J33" s="75">
        <v>16.260000000000002</v>
      </c>
      <c r="K33" s="75">
        <v>16.13</v>
      </c>
      <c r="L33" s="75">
        <v>-3.63</v>
      </c>
      <c r="M33" s="75">
        <v>-3.4</v>
      </c>
      <c r="N33" s="105">
        <v>-3.4039999999999999</v>
      </c>
      <c r="O33" s="104">
        <v>32.04</v>
      </c>
      <c r="P33" s="75">
        <v>31.986000000000001</v>
      </c>
      <c r="Q33" s="75">
        <v>31.99</v>
      </c>
      <c r="R33" s="75">
        <v>-3.3450000000000002</v>
      </c>
      <c r="S33" s="75">
        <v>-3.6179999999999999</v>
      </c>
      <c r="T33" s="105">
        <v>-4.8070000000000004</v>
      </c>
      <c r="U33" s="104">
        <v>31.93</v>
      </c>
      <c r="V33" s="75">
        <v>31.92</v>
      </c>
      <c r="W33" s="75">
        <v>31.722000000000001</v>
      </c>
      <c r="X33" s="75">
        <v>-4.5570000000000004</v>
      </c>
      <c r="Y33" s="75">
        <v>-5.415</v>
      </c>
      <c r="Z33" s="105">
        <v>-4.7859999999999996</v>
      </c>
      <c r="AA33" s="104">
        <v>14.13</v>
      </c>
      <c r="AB33" s="75">
        <v>14.19</v>
      </c>
      <c r="AC33" s="75">
        <v>14.22</v>
      </c>
      <c r="AD33" s="75">
        <v>-1.6359999999999999</v>
      </c>
      <c r="AE33" s="75">
        <v>-2.0089999999999999</v>
      </c>
      <c r="AF33" s="105">
        <v>-1.49</v>
      </c>
    </row>
    <row r="34" spans="2:32" x14ac:dyDescent="0.3">
      <c r="B34" s="111">
        <v>4.833333333333333</v>
      </c>
      <c r="C34" s="104">
        <v>16.21</v>
      </c>
      <c r="D34" s="75">
        <v>16.23</v>
      </c>
      <c r="E34" s="75">
        <v>16.11</v>
      </c>
      <c r="F34" s="75">
        <v>-3.41</v>
      </c>
      <c r="G34" s="75">
        <v>-3.718</v>
      </c>
      <c r="H34" s="105">
        <v>-3.6259999999999999</v>
      </c>
      <c r="I34" s="104">
        <v>16.149999999999999</v>
      </c>
      <c r="J34" s="75">
        <v>16.11</v>
      </c>
      <c r="K34" s="75">
        <v>15.99</v>
      </c>
      <c r="L34" s="75">
        <v>-3.38</v>
      </c>
      <c r="M34" s="75">
        <v>-3.7719999999999998</v>
      </c>
      <c r="N34" s="105">
        <v>-3.6709999999999998</v>
      </c>
      <c r="O34" s="104">
        <v>31.91</v>
      </c>
      <c r="P34" s="75">
        <v>31.837</v>
      </c>
      <c r="Q34" s="75">
        <v>31.843</v>
      </c>
      <c r="R34" s="75">
        <v>-3.5950000000000002</v>
      </c>
      <c r="S34" s="75">
        <v>-3.448</v>
      </c>
      <c r="T34" s="105">
        <v>-4.8769999999999998</v>
      </c>
      <c r="U34" s="104">
        <v>31.8</v>
      </c>
      <c r="V34" s="75">
        <v>31.78</v>
      </c>
      <c r="W34" s="75">
        <v>31.574000000000002</v>
      </c>
      <c r="X34" s="75">
        <v>-4.7130000000000001</v>
      </c>
      <c r="Y34" s="75">
        <v>-5.1219999999999999</v>
      </c>
      <c r="Z34" s="105">
        <v>-4.4619999999999997</v>
      </c>
      <c r="AA34" s="104">
        <v>13.98</v>
      </c>
      <c r="AB34" s="75">
        <v>14.05</v>
      </c>
      <c r="AC34" s="75">
        <v>14.07</v>
      </c>
      <c r="AD34" s="75">
        <v>-2.343</v>
      </c>
      <c r="AE34" s="75">
        <v>-2.1059999999999999</v>
      </c>
      <c r="AF34" s="105">
        <v>-2.0859999999999999</v>
      </c>
    </row>
    <row r="35" spans="2:32" x14ac:dyDescent="0.3">
      <c r="B35" s="111">
        <v>5</v>
      </c>
      <c r="C35" s="104">
        <v>16.07</v>
      </c>
      <c r="D35" s="75">
        <v>16.079999999999998</v>
      </c>
      <c r="E35" s="75">
        <v>15.97</v>
      </c>
      <c r="F35" s="75">
        <v>-3.66</v>
      </c>
      <c r="G35" s="75">
        <v>-3.6789999999999998</v>
      </c>
      <c r="H35" s="105">
        <v>-3.9159999999999999</v>
      </c>
      <c r="I35" s="104">
        <v>16.010000000000002</v>
      </c>
      <c r="J35" s="75">
        <v>15.96</v>
      </c>
      <c r="K35" s="75">
        <v>15.85</v>
      </c>
      <c r="L35" s="75">
        <v>-3.07</v>
      </c>
      <c r="M35" s="75">
        <v>-3.6110000000000002</v>
      </c>
      <c r="N35" s="105">
        <v>-3.2480000000000002</v>
      </c>
      <c r="O35" s="104">
        <v>31.76</v>
      </c>
      <c r="P35" s="75">
        <v>31.692</v>
      </c>
      <c r="Q35" s="75">
        <v>31.698</v>
      </c>
      <c r="R35" s="75">
        <v>-3.6789999999999998</v>
      </c>
      <c r="S35" s="75">
        <v>-3.6059999999999999</v>
      </c>
      <c r="T35" s="105">
        <v>-5.1440000000000001</v>
      </c>
      <c r="U35" s="104">
        <v>31.66</v>
      </c>
      <c r="V35" s="75">
        <v>31.64</v>
      </c>
      <c r="W35" s="75">
        <v>31.434999999999999</v>
      </c>
      <c r="X35" s="75">
        <v>-4.758</v>
      </c>
      <c r="Y35" s="75">
        <v>-5.2060000000000004</v>
      </c>
      <c r="Z35" s="105">
        <v>-4.7560000000000002</v>
      </c>
      <c r="AA35" s="104">
        <v>13.84</v>
      </c>
      <c r="AB35" s="75">
        <v>13.91</v>
      </c>
      <c r="AC35" s="75">
        <v>13.95</v>
      </c>
      <c r="AD35" s="75">
        <v>-1.952</v>
      </c>
      <c r="AE35" s="75">
        <v>-1.663</v>
      </c>
      <c r="AF35" s="105">
        <v>-1.468</v>
      </c>
    </row>
    <row r="36" spans="2:32" x14ac:dyDescent="0.3">
      <c r="B36" s="111">
        <v>5.166666666666667</v>
      </c>
      <c r="C36" s="104">
        <v>15.92</v>
      </c>
      <c r="D36" s="75">
        <v>15.94</v>
      </c>
      <c r="E36" s="75">
        <v>15.81</v>
      </c>
      <c r="F36" s="75">
        <v>-3.8940000000000001</v>
      </c>
      <c r="G36" s="75">
        <v>-3.7429999999999999</v>
      </c>
      <c r="H36" s="105">
        <v>-4.1369999999999996</v>
      </c>
      <c r="I36" s="104">
        <v>15.86</v>
      </c>
      <c r="J36" s="75">
        <v>15.82</v>
      </c>
      <c r="K36" s="75">
        <v>15.69</v>
      </c>
      <c r="L36" s="75">
        <v>-3.3279999999999998</v>
      </c>
      <c r="M36" s="75">
        <v>-3.6469999999999998</v>
      </c>
      <c r="N36" s="105">
        <v>-3.4209999999999998</v>
      </c>
      <c r="O36" s="104">
        <v>31.63</v>
      </c>
      <c r="P36" s="75">
        <v>31.538</v>
      </c>
      <c r="Q36" s="75">
        <v>31.548999999999999</v>
      </c>
      <c r="R36" s="75">
        <v>-3.7389999999999999</v>
      </c>
      <c r="S36" s="75">
        <v>-3.8580000000000001</v>
      </c>
      <c r="T36" s="105">
        <v>-4.3220000000000001</v>
      </c>
      <c r="U36" s="104">
        <v>31.54</v>
      </c>
      <c r="V36" s="75">
        <v>31.51</v>
      </c>
      <c r="W36" s="75">
        <v>31.291</v>
      </c>
      <c r="X36" s="75">
        <v>-4.8079999999999998</v>
      </c>
      <c r="Y36" s="75">
        <v>-5.4370000000000003</v>
      </c>
      <c r="Z36" s="105">
        <v>-4.7409999999999997</v>
      </c>
      <c r="AA36" s="104">
        <v>13.7</v>
      </c>
      <c r="AB36" s="75">
        <v>13.78</v>
      </c>
      <c r="AC36" s="75">
        <v>13.8</v>
      </c>
      <c r="AD36" s="75">
        <v>-1.5880000000000001</v>
      </c>
      <c r="AE36" s="75">
        <v>-2.1859999999999999</v>
      </c>
      <c r="AF36" s="105">
        <v>-1.7809999999999999</v>
      </c>
    </row>
    <row r="37" spans="2:32" x14ac:dyDescent="0.3">
      <c r="B37" s="111">
        <v>5.3333333333333339</v>
      </c>
      <c r="C37" s="104">
        <v>15.76</v>
      </c>
      <c r="D37" s="75">
        <v>15.78</v>
      </c>
      <c r="E37" s="75">
        <v>15.65</v>
      </c>
      <c r="F37" s="75">
        <v>-4.133</v>
      </c>
      <c r="G37" s="75">
        <v>-4.0839999999999996</v>
      </c>
      <c r="H37" s="105">
        <v>-4.18</v>
      </c>
      <c r="I37" s="104">
        <v>15.71</v>
      </c>
      <c r="J37" s="75">
        <v>15.66</v>
      </c>
      <c r="K37" s="75">
        <v>15.54</v>
      </c>
      <c r="L37" s="75">
        <v>-3.653</v>
      </c>
      <c r="M37" s="75">
        <v>-3.7360000000000002</v>
      </c>
      <c r="N37" s="105">
        <v>-3.952</v>
      </c>
      <c r="O37" s="104">
        <v>31.46</v>
      </c>
      <c r="P37" s="75">
        <v>31.388000000000002</v>
      </c>
      <c r="Q37" s="75">
        <v>31.402000000000001</v>
      </c>
      <c r="R37" s="75">
        <v>-4.54</v>
      </c>
      <c r="S37" s="75">
        <v>-4.2190000000000003</v>
      </c>
      <c r="T37" s="105">
        <v>-4.5330000000000004</v>
      </c>
      <c r="U37" s="104">
        <v>31.38</v>
      </c>
      <c r="V37" s="75">
        <v>31.36</v>
      </c>
      <c r="W37" s="75">
        <v>31.146999999999998</v>
      </c>
      <c r="X37" s="75">
        <v>-5.5259999999999998</v>
      </c>
      <c r="Y37" s="75">
        <v>-5.7560000000000002</v>
      </c>
      <c r="Z37" s="105">
        <v>-5.4020000000000001</v>
      </c>
      <c r="AA37" s="104">
        <v>13.56</v>
      </c>
      <c r="AB37" s="75">
        <v>13.65</v>
      </c>
      <c r="AC37" s="75">
        <v>13.67</v>
      </c>
      <c r="AD37" s="75">
        <v>-1.2789999999999999</v>
      </c>
      <c r="AE37" s="75">
        <v>-1.4279999999999999</v>
      </c>
      <c r="AF37" s="105">
        <v>-1.109</v>
      </c>
    </row>
    <row r="38" spans="2:32" x14ac:dyDescent="0.3">
      <c r="B38" s="111">
        <v>5.5000000000000009</v>
      </c>
      <c r="C38" s="104">
        <v>15.61</v>
      </c>
      <c r="D38" s="75">
        <v>15.63</v>
      </c>
      <c r="E38" s="75">
        <v>15.51</v>
      </c>
      <c r="F38" s="75">
        <v>-3.8220000000000001</v>
      </c>
      <c r="G38" s="75">
        <v>-4.0179999999999998</v>
      </c>
      <c r="H38" s="105">
        <v>-3.9870000000000001</v>
      </c>
      <c r="I38" s="104">
        <v>15.56</v>
      </c>
      <c r="J38" s="75">
        <v>15.51</v>
      </c>
      <c r="K38" s="75">
        <v>15.39</v>
      </c>
      <c r="L38" s="75">
        <v>-3.887</v>
      </c>
      <c r="M38" s="75">
        <v>-3.8860000000000001</v>
      </c>
      <c r="N38" s="105">
        <v>-4.0270000000000001</v>
      </c>
      <c r="O38" s="104">
        <v>31.3</v>
      </c>
      <c r="P38" s="75">
        <v>31.238</v>
      </c>
      <c r="Q38" s="75">
        <v>31.256</v>
      </c>
      <c r="R38" s="75">
        <v>-4.375</v>
      </c>
      <c r="S38" s="75">
        <v>-4.0949999999999998</v>
      </c>
      <c r="T38" s="105">
        <v>-5.0490000000000004</v>
      </c>
      <c r="U38" s="104">
        <v>31.23</v>
      </c>
      <c r="V38" s="75">
        <v>31.21</v>
      </c>
      <c r="W38" s="75">
        <v>31.004000000000001</v>
      </c>
      <c r="X38" s="75">
        <v>-5.4109999999999996</v>
      </c>
      <c r="Y38" s="75">
        <v>-5.5419999999999998</v>
      </c>
      <c r="Z38" s="105">
        <v>-4.7119999999999997</v>
      </c>
      <c r="AA38" s="104">
        <v>13.39</v>
      </c>
      <c r="AB38" s="75">
        <v>13.48</v>
      </c>
      <c r="AC38" s="75">
        <v>13.5</v>
      </c>
      <c r="AD38" s="75">
        <v>-2.1850000000000001</v>
      </c>
      <c r="AE38" s="75">
        <v>-2.2469999999999999</v>
      </c>
      <c r="AF38" s="105">
        <v>-1.897</v>
      </c>
    </row>
    <row r="39" spans="2:32" x14ac:dyDescent="0.3">
      <c r="B39" s="111">
        <v>5.6666666666666679</v>
      </c>
      <c r="C39" s="104">
        <v>15.46</v>
      </c>
      <c r="D39" s="75">
        <v>15.49</v>
      </c>
      <c r="E39" s="75">
        <v>15.36</v>
      </c>
      <c r="F39" s="75">
        <v>-3.9510000000000001</v>
      </c>
      <c r="G39" s="75">
        <v>-3.6970000000000001</v>
      </c>
      <c r="H39" s="105">
        <v>-3.9750000000000001</v>
      </c>
      <c r="I39" s="104">
        <v>15.41</v>
      </c>
      <c r="J39" s="75">
        <v>15.36</v>
      </c>
      <c r="K39" s="75">
        <v>15.24</v>
      </c>
      <c r="L39" s="75">
        <v>-3.677</v>
      </c>
      <c r="M39" s="75">
        <v>-3.8140000000000001</v>
      </c>
      <c r="N39" s="105">
        <v>-3.5870000000000002</v>
      </c>
      <c r="O39" s="104">
        <v>31.16</v>
      </c>
      <c r="P39" s="75">
        <v>31.09</v>
      </c>
      <c r="Q39" s="75">
        <v>31.108000000000001</v>
      </c>
      <c r="R39" s="75">
        <v>-4.375</v>
      </c>
      <c r="S39" s="75">
        <v>-3.99</v>
      </c>
      <c r="T39" s="105">
        <v>-4.7290000000000001</v>
      </c>
      <c r="U39" s="104">
        <v>31.09</v>
      </c>
      <c r="V39" s="75">
        <v>31.07</v>
      </c>
      <c r="W39" s="75">
        <v>30.86</v>
      </c>
      <c r="X39" s="75">
        <v>-5.4189999999999996</v>
      </c>
      <c r="Y39" s="75">
        <v>-5.407</v>
      </c>
      <c r="Z39" s="105">
        <v>-4.6970000000000001</v>
      </c>
      <c r="AA39" s="104">
        <v>13.24</v>
      </c>
      <c r="AB39" s="75">
        <v>13.33</v>
      </c>
      <c r="AC39" s="75">
        <v>13.33</v>
      </c>
      <c r="AD39" s="75">
        <v>-1.986</v>
      </c>
      <c r="AE39" s="75">
        <v>-1.8440000000000001</v>
      </c>
      <c r="AF39" s="105">
        <v>-2.0009999999999999</v>
      </c>
    </row>
    <row r="40" spans="2:32" x14ac:dyDescent="0.3">
      <c r="B40" s="111">
        <v>5.8333333333333348</v>
      </c>
      <c r="C40" s="104">
        <v>15.32</v>
      </c>
      <c r="D40" s="75">
        <v>15.35</v>
      </c>
      <c r="E40" s="75">
        <v>15.21</v>
      </c>
      <c r="F40" s="75">
        <v>-3.7679999999999998</v>
      </c>
      <c r="G40" s="75">
        <v>-3.9089999999999998</v>
      </c>
      <c r="H40" s="105">
        <v>-3.968</v>
      </c>
      <c r="I40" s="104">
        <v>15.27</v>
      </c>
      <c r="J40" s="75">
        <v>15.22</v>
      </c>
      <c r="K40" s="75">
        <v>15.1</v>
      </c>
      <c r="L40" s="75">
        <v>-3.8159999999999998</v>
      </c>
      <c r="M40" s="75">
        <v>-3.5510000000000002</v>
      </c>
      <c r="N40" s="105">
        <v>-3.5579999999999998</v>
      </c>
      <c r="O40" s="104">
        <v>31.02</v>
      </c>
      <c r="P40" s="75">
        <v>30.94</v>
      </c>
      <c r="Q40" s="75">
        <v>30.962</v>
      </c>
      <c r="R40" s="75">
        <v>-3.9159999999999999</v>
      </c>
      <c r="S40" s="75">
        <v>-4.0380000000000003</v>
      </c>
      <c r="T40" s="105">
        <v>-4.5990000000000002</v>
      </c>
      <c r="U40" s="104">
        <v>30.95</v>
      </c>
      <c r="V40" s="75">
        <v>30.93</v>
      </c>
      <c r="W40" s="75">
        <v>30.718</v>
      </c>
      <c r="X40" s="75">
        <v>-4.9359999999999999</v>
      </c>
      <c r="Y40" s="75">
        <v>-5.4619999999999997</v>
      </c>
      <c r="Z40" s="105">
        <v>-4.7759999999999998</v>
      </c>
      <c r="AA40" s="104">
        <v>13.09</v>
      </c>
      <c r="AB40" s="75">
        <v>13.18</v>
      </c>
      <c r="AC40" s="75">
        <v>13.2</v>
      </c>
      <c r="AD40" s="75">
        <v>-2.0590000000000002</v>
      </c>
      <c r="AE40" s="75">
        <v>-2.069</v>
      </c>
      <c r="AF40" s="105">
        <v>-1.2350000000000001</v>
      </c>
    </row>
    <row r="41" spans="2:32" x14ac:dyDescent="0.3">
      <c r="B41" s="111">
        <v>6.0000000000000018</v>
      </c>
      <c r="C41" s="104">
        <v>15.18</v>
      </c>
      <c r="D41" s="75">
        <v>15.21</v>
      </c>
      <c r="E41" s="75">
        <v>15.07</v>
      </c>
      <c r="F41" s="75">
        <v>-3.6629999999999998</v>
      </c>
      <c r="G41" s="75">
        <v>-3.7869999999999999</v>
      </c>
      <c r="H41" s="105">
        <v>-3.9820000000000002</v>
      </c>
      <c r="I41" s="104">
        <v>15.13</v>
      </c>
      <c r="J41" s="75">
        <v>15.09</v>
      </c>
      <c r="K41" s="75">
        <v>14.96</v>
      </c>
      <c r="L41" s="75">
        <v>-3.9990000000000001</v>
      </c>
      <c r="M41" s="75">
        <v>-3.6930000000000001</v>
      </c>
      <c r="N41" s="105">
        <v>-3.4809999999999999</v>
      </c>
      <c r="O41" s="104">
        <v>30.88</v>
      </c>
      <c r="P41" s="75">
        <v>30.792000000000002</v>
      </c>
      <c r="Q41" s="75">
        <v>30.815000000000001</v>
      </c>
      <c r="R41" s="75">
        <v>-4.274</v>
      </c>
      <c r="S41" s="75">
        <v>-3.8170000000000002</v>
      </c>
      <c r="T41" s="105">
        <v>-3.91</v>
      </c>
      <c r="U41" s="104">
        <v>30.81</v>
      </c>
      <c r="V41" s="75">
        <v>30.8</v>
      </c>
      <c r="W41" s="75">
        <v>30.573</v>
      </c>
      <c r="X41" s="75">
        <v>-5.234</v>
      </c>
      <c r="Y41" s="75">
        <v>-5.2069999999999999</v>
      </c>
      <c r="Z41" s="105">
        <v>-4.6669999999999998</v>
      </c>
      <c r="AA41" s="104">
        <v>12.94</v>
      </c>
      <c r="AB41" s="75">
        <v>13.04</v>
      </c>
      <c r="AC41" s="75">
        <v>13.05</v>
      </c>
      <c r="AD41" s="75">
        <v>-1.623</v>
      </c>
      <c r="AE41" s="75">
        <v>-1.359</v>
      </c>
      <c r="AF41" s="105">
        <v>-1.786</v>
      </c>
    </row>
    <row r="42" spans="2:32" x14ac:dyDescent="0.3">
      <c r="B42" s="111">
        <v>6.1666666666666687</v>
      </c>
      <c r="C42" s="104">
        <v>15.03</v>
      </c>
      <c r="D42" s="75">
        <v>15.06</v>
      </c>
      <c r="E42" s="75">
        <v>14.93</v>
      </c>
      <c r="F42" s="75">
        <v>-3.806</v>
      </c>
      <c r="G42" s="75">
        <v>-3.9510000000000001</v>
      </c>
      <c r="H42" s="105">
        <v>-4.0970000000000004</v>
      </c>
      <c r="I42" s="104">
        <v>14.98</v>
      </c>
      <c r="J42" s="75">
        <v>14.94</v>
      </c>
      <c r="K42" s="75">
        <v>14.82</v>
      </c>
      <c r="L42" s="75">
        <v>-3.4790000000000001</v>
      </c>
      <c r="M42" s="75">
        <v>-3.5089999999999999</v>
      </c>
      <c r="N42" s="105">
        <v>-3.38</v>
      </c>
      <c r="O42" s="104">
        <v>30.74</v>
      </c>
      <c r="P42" s="75">
        <v>30.641999999999999</v>
      </c>
      <c r="Q42" s="75">
        <v>30.667999999999999</v>
      </c>
      <c r="R42" s="75">
        <v>-3.9609999999999999</v>
      </c>
      <c r="S42" s="75">
        <v>-3.9750000000000001</v>
      </c>
      <c r="T42" s="105">
        <v>-4.2279999999999998</v>
      </c>
      <c r="U42" s="104">
        <v>30.68</v>
      </c>
      <c r="V42" s="75">
        <v>30.66</v>
      </c>
      <c r="W42" s="75">
        <v>30.428999999999998</v>
      </c>
      <c r="X42" s="75">
        <v>-5.0110000000000001</v>
      </c>
      <c r="Y42" s="75">
        <v>-5.3540000000000001</v>
      </c>
      <c r="Z42" s="105">
        <v>-4.6520000000000001</v>
      </c>
      <c r="AA42" s="104">
        <v>12.81</v>
      </c>
      <c r="AB42" s="75">
        <v>12.88</v>
      </c>
      <c r="AC42" s="75">
        <v>12.92</v>
      </c>
      <c r="AD42" s="75">
        <v>-1.516</v>
      </c>
      <c r="AE42" s="75">
        <v>-1.6279999999999999</v>
      </c>
      <c r="AF42" s="105">
        <v>-1.0980000000000001</v>
      </c>
    </row>
    <row r="43" spans="2:32" x14ac:dyDescent="0.3">
      <c r="B43" s="111">
        <v>6.3333333333333357</v>
      </c>
      <c r="C43" s="104">
        <v>14.89</v>
      </c>
      <c r="D43" s="75">
        <v>14.92</v>
      </c>
      <c r="E43" s="75">
        <v>14.76</v>
      </c>
      <c r="F43" s="75">
        <v>-3.8149999999999999</v>
      </c>
      <c r="G43" s="75">
        <v>-3.9990000000000001</v>
      </c>
      <c r="H43" s="105">
        <v>-4.4340000000000002</v>
      </c>
      <c r="I43" s="104">
        <v>14.84</v>
      </c>
      <c r="J43" s="75">
        <v>14.8</v>
      </c>
      <c r="K43" s="75">
        <v>14.66</v>
      </c>
      <c r="L43" s="75">
        <v>-3.4929999999999999</v>
      </c>
      <c r="M43" s="75">
        <v>-3.7930000000000001</v>
      </c>
      <c r="N43" s="105">
        <v>-3.4689999999999999</v>
      </c>
      <c r="O43" s="104">
        <v>30.6</v>
      </c>
      <c r="P43" s="75">
        <v>30.492000000000001</v>
      </c>
      <c r="Q43" s="75">
        <v>30.521000000000001</v>
      </c>
      <c r="R43" s="75">
        <v>-4.1139999999999999</v>
      </c>
      <c r="S43" s="75">
        <v>-3.8290000000000002</v>
      </c>
      <c r="T43" s="105">
        <v>-4.2210000000000001</v>
      </c>
      <c r="U43" s="104">
        <v>30.54</v>
      </c>
      <c r="V43" s="75">
        <v>30.53</v>
      </c>
      <c r="W43" s="75">
        <v>30.285</v>
      </c>
      <c r="X43" s="75">
        <v>-5.0940000000000003</v>
      </c>
      <c r="Y43" s="75">
        <v>-5.1989999999999998</v>
      </c>
      <c r="Z43" s="105">
        <v>-4.7460000000000004</v>
      </c>
      <c r="AA43" s="104">
        <v>12.66</v>
      </c>
      <c r="AB43" s="75">
        <v>12.75</v>
      </c>
      <c r="AC43" s="75">
        <v>12.77</v>
      </c>
      <c r="AD43" s="75">
        <v>-1.48</v>
      </c>
      <c r="AE43" s="75">
        <v>-1.6279999999999999</v>
      </c>
      <c r="AF43" s="105">
        <v>-1.677</v>
      </c>
    </row>
    <row r="44" spans="2:32" x14ac:dyDescent="0.3">
      <c r="B44" s="111">
        <v>6.5000000000000027</v>
      </c>
      <c r="C44" s="104">
        <v>14.73</v>
      </c>
      <c r="D44" s="75">
        <v>14.75</v>
      </c>
      <c r="E44" s="75">
        <v>14.62</v>
      </c>
      <c r="F44" s="75">
        <v>-4.1470000000000002</v>
      </c>
      <c r="G44" s="75">
        <v>-4.3120000000000003</v>
      </c>
      <c r="H44" s="105">
        <v>-4.202</v>
      </c>
      <c r="I44" s="104">
        <v>14.68</v>
      </c>
      <c r="J44" s="75">
        <v>14.63</v>
      </c>
      <c r="K44" s="75">
        <v>14.51</v>
      </c>
      <c r="L44" s="75">
        <v>-3.4860000000000002</v>
      </c>
      <c r="M44" s="75">
        <v>-3.6269999999999998</v>
      </c>
      <c r="N44" s="105">
        <v>-4.032</v>
      </c>
      <c r="O44" s="104">
        <v>30.46</v>
      </c>
      <c r="P44" s="75">
        <v>30.343</v>
      </c>
      <c r="Q44" s="75">
        <v>30.375</v>
      </c>
      <c r="R44" s="75">
        <v>-4.0629999999999997</v>
      </c>
      <c r="S44" s="75">
        <v>-4.1459999999999999</v>
      </c>
      <c r="T44" s="105">
        <v>-4.01</v>
      </c>
      <c r="U44" s="104">
        <v>30.41</v>
      </c>
      <c r="V44" s="75">
        <v>30.4</v>
      </c>
      <c r="W44" s="75">
        <v>30.141999999999999</v>
      </c>
      <c r="X44" s="75">
        <v>-5</v>
      </c>
      <c r="Y44" s="75">
        <v>-5.4969999999999999</v>
      </c>
      <c r="Z44" s="105">
        <v>-4.6230000000000002</v>
      </c>
      <c r="AA44" s="104">
        <v>12.5</v>
      </c>
      <c r="AB44" s="75">
        <v>12.6</v>
      </c>
      <c r="AC44" s="75">
        <v>12.63</v>
      </c>
      <c r="AD44" s="75">
        <v>-2.3570000000000002</v>
      </c>
      <c r="AE44" s="75">
        <v>-1.784</v>
      </c>
      <c r="AF44" s="105">
        <v>-1.4930000000000001</v>
      </c>
    </row>
    <row r="45" spans="2:32" x14ac:dyDescent="0.3">
      <c r="B45" s="111">
        <v>6.6666666666666696</v>
      </c>
      <c r="C45" s="104">
        <v>14.59</v>
      </c>
      <c r="D45" s="75">
        <v>14.59</v>
      </c>
      <c r="E45" s="75">
        <v>14.47</v>
      </c>
      <c r="F45" s="75">
        <v>-3.82</v>
      </c>
      <c r="G45" s="75">
        <v>-4.4039999999999999</v>
      </c>
      <c r="H45" s="105">
        <v>-4.2190000000000003</v>
      </c>
      <c r="I45" s="104">
        <v>14.54</v>
      </c>
      <c r="J45" s="75">
        <v>14.48</v>
      </c>
      <c r="K45" s="75">
        <v>14.36</v>
      </c>
      <c r="L45" s="75">
        <v>-3.9430000000000001</v>
      </c>
      <c r="M45" s="75">
        <v>-4.1369999999999996</v>
      </c>
      <c r="N45" s="105">
        <v>-3.577</v>
      </c>
      <c r="O45" s="104">
        <v>30.3</v>
      </c>
      <c r="P45" s="75">
        <v>30.193000000000001</v>
      </c>
      <c r="Q45" s="75">
        <v>30.227</v>
      </c>
      <c r="R45" s="75">
        <v>-4.5880000000000001</v>
      </c>
      <c r="S45" s="75">
        <v>-4.49</v>
      </c>
      <c r="T45" s="105">
        <v>-4.1310000000000002</v>
      </c>
      <c r="U45" s="104">
        <v>30.26</v>
      </c>
      <c r="V45" s="75">
        <v>30.25</v>
      </c>
      <c r="W45" s="75">
        <v>29.998999999999999</v>
      </c>
      <c r="X45" s="75">
        <v>-5.4770000000000003</v>
      </c>
      <c r="Y45" s="75">
        <v>-5.8109999999999999</v>
      </c>
      <c r="Z45" s="105">
        <v>-4.6079999999999997</v>
      </c>
      <c r="AA45" s="104">
        <v>12.36</v>
      </c>
      <c r="AB45" s="75">
        <v>12.43</v>
      </c>
      <c r="AC45" s="75">
        <v>12.47</v>
      </c>
      <c r="AD45" s="75">
        <v>-1.514</v>
      </c>
      <c r="AE45" s="75">
        <v>-2.9289999999999998</v>
      </c>
      <c r="AF45" s="105">
        <v>-2.0019999999999998</v>
      </c>
    </row>
    <row r="46" spans="2:32" x14ac:dyDescent="0.3">
      <c r="B46" s="111">
        <v>6.8333333333333366</v>
      </c>
      <c r="C46" s="104">
        <v>14.43</v>
      </c>
      <c r="D46" s="75">
        <v>14.45</v>
      </c>
      <c r="E46" s="75">
        <v>14.32</v>
      </c>
      <c r="F46" s="75">
        <v>-3.9590000000000001</v>
      </c>
      <c r="G46" s="75">
        <v>-4.1020000000000003</v>
      </c>
      <c r="H46" s="105">
        <v>-4.08</v>
      </c>
      <c r="I46" s="104">
        <v>14.39</v>
      </c>
      <c r="J46" s="75">
        <v>14.33</v>
      </c>
      <c r="K46" s="75">
        <v>14.22</v>
      </c>
      <c r="L46" s="75">
        <v>-3.5830000000000002</v>
      </c>
      <c r="M46" s="75">
        <v>-4.0830000000000002</v>
      </c>
      <c r="N46" s="105">
        <v>-3.62</v>
      </c>
      <c r="O46" s="104">
        <v>30.15</v>
      </c>
      <c r="P46" s="75">
        <v>30.044</v>
      </c>
      <c r="Q46" s="75">
        <v>30.08</v>
      </c>
      <c r="R46" s="75">
        <v>-4.4000000000000004</v>
      </c>
      <c r="S46" s="75">
        <v>-4.234</v>
      </c>
      <c r="T46" s="105">
        <v>-4.0679999999999996</v>
      </c>
      <c r="U46" s="104">
        <v>30.11</v>
      </c>
      <c r="V46" s="75">
        <v>30.11</v>
      </c>
      <c r="W46" s="75">
        <v>29.856000000000002</v>
      </c>
      <c r="X46" s="75">
        <v>-5.32</v>
      </c>
      <c r="Y46" s="75">
        <v>-5.5439999999999996</v>
      </c>
      <c r="Z46" s="105">
        <v>-4.5999999999999996</v>
      </c>
      <c r="AA46" s="104">
        <v>12.2</v>
      </c>
      <c r="AB46" s="75">
        <v>12.29</v>
      </c>
      <c r="AC46" s="75">
        <v>12.33</v>
      </c>
      <c r="AD46" s="75">
        <v>-2.2360000000000002</v>
      </c>
      <c r="AE46" s="75">
        <v>-1.9079999999999999</v>
      </c>
      <c r="AF46" s="105">
        <v>-1.456</v>
      </c>
    </row>
    <row r="47" spans="2:32" x14ac:dyDescent="0.3">
      <c r="B47" s="111">
        <v>7.0000000000000036</v>
      </c>
      <c r="C47" s="104">
        <v>14.28</v>
      </c>
      <c r="D47" s="75">
        <v>14.29</v>
      </c>
      <c r="E47" s="75">
        <v>14.18</v>
      </c>
      <c r="F47" s="75">
        <v>-3.9089999999999998</v>
      </c>
      <c r="G47" s="75">
        <v>-4.1820000000000004</v>
      </c>
      <c r="H47" s="105">
        <v>-3.694</v>
      </c>
      <c r="I47" s="104">
        <v>14.24</v>
      </c>
      <c r="J47" s="75">
        <v>14.18</v>
      </c>
      <c r="K47" s="75">
        <v>14.09</v>
      </c>
      <c r="L47" s="75">
        <v>-3.72</v>
      </c>
      <c r="M47" s="75">
        <v>-3.6930000000000001</v>
      </c>
      <c r="N47" s="105">
        <v>-3.3690000000000002</v>
      </c>
      <c r="O47" s="104">
        <v>29.99</v>
      </c>
      <c r="P47" s="75">
        <v>29.895</v>
      </c>
      <c r="Q47" s="75">
        <v>29.934000000000001</v>
      </c>
      <c r="R47" s="75">
        <v>-4.3819999999999997</v>
      </c>
      <c r="S47" s="75">
        <v>-4.2859999999999996</v>
      </c>
      <c r="T47" s="105">
        <v>-3.9929999999999999</v>
      </c>
      <c r="U47" s="104">
        <v>29.96</v>
      </c>
      <c r="V47" s="75">
        <v>29.96</v>
      </c>
      <c r="W47" s="75">
        <v>29.710999999999999</v>
      </c>
      <c r="X47" s="75">
        <v>-5.2759999999999998</v>
      </c>
      <c r="Y47" s="75">
        <v>-5.5869999999999997</v>
      </c>
      <c r="Z47" s="105">
        <v>-4.5780000000000003</v>
      </c>
      <c r="AA47" s="104">
        <v>12.03</v>
      </c>
      <c r="AB47" s="75">
        <v>12.12</v>
      </c>
      <c r="AC47" s="75">
        <v>12.18</v>
      </c>
      <c r="AD47" s="75">
        <v>-2.5489999999999999</v>
      </c>
      <c r="AE47" s="75">
        <v>-2.343</v>
      </c>
      <c r="AF47" s="105">
        <v>-1.55</v>
      </c>
    </row>
    <row r="48" spans="2:32" x14ac:dyDescent="0.3">
      <c r="B48" s="111">
        <v>7.1666666666666705</v>
      </c>
      <c r="C48" s="104">
        <v>14.13</v>
      </c>
      <c r="D48" s="75">
        <v>14.15</v>
      </c>
      <c r="E48" s="75">
        <v>14.04</v>
      </c>
      <c r="F48" s="75">
        <v>-3.8730000000000002</v>
      </c>
      <c r="G48" s="75">
        <v>-3.9359999999999999</v>
      </c>
      <c r="H48" s="105">
        <v>-4.0289999999999999</v>
      </c>
      <c r="I48" s="104">
        <v>14.09</v>
      </c>
      <c r="J48" s="75">
        <v>14.03</v>
      </c>
      <c r="K48" s="75">
        <v>13.95</v>
      </c>
      <c r="L48" s="75">
        <v>-3.5950000000000002</v>
      </c>
      <c r="M48" s="75">
        <v>-3.86</v>
      </c>
      <c r="N48" s="105">
        <v>-2.9710000000000001</v>
      </c>
      <c r="O48" s="104">
        <v>29.84</v>
      </c>
      <c r="P48" s="75">
        <v>29.745000000000001</v>
      </c>
      <c r="Q48" s="75">
        <v>29.786000000000001</v>
      </c>
      <c r="R48" s="75">
        <v>-4.37</v>
      </c>
      <c r="S48" s="75">
        <v>-4.25</v>
      </c>
      <c r="T48" s="105">
        <v>-4.1449999999999996</v>
      </c>
      <c r="U48" s="104">
        <v>29.82</v>
      </c>
      <c r="V48" s="75">
        <v>29.81</v>
      </c>
      <c r="W48" s="75">
        <v>29.568000000000001</v>
      </c>
      <c r="X48" s="75">
        <v>-5.24</v>
      </c>
      <c r="Y48" s="75">
        <v>-5.51</v>
      </c>
      <c r="Z48" s="105">
        <v>-4.5629999999999997</v>
      </c>
      <c r="AA48" s="104">
        <v>11.89</v>
      </c>
      <c r="AB48" s="75">
        <v>11.98</v>
      </c>
      <c r="AC48" s="75">
        <v>12.03</v>
      </c>
      <c r="AD48" s="75">
        <v>-1.992</v>
      </c>
      <c r="AE48" s="75">
        <v>-1.6990000000000001</v>
      </c>
      <c r="AF48" s="105">
        <v>-1.48</v>
      </c>
    </row>
    <row r="49" spans="2:32" x14ac:dyDescent="0.3">
      <c r="B49" s="111">
        <v>7.3333333333333375</v>
      </c>
      <c r="C49" s="104">
        <v>13.99</v>
      </c>
      <c r="D49" s="75">
        <v>14.01</v>
      </c>
      <c r="E49" s="75">
        <v>13.9</v>
      </c>
      <c r="F49" s="75">
        <v>-4.0149999999999997</v>
      </c>
      <c r="G49" s="75">
        <v>-4.1029999999999998</v>
      </c>
      <c r="H49" s="105">
        <v>-4.032</v>
      </c>
      <c r="I49" s="104">
        <v>13.95</v>
      </c>
      <c r="J49" s="75">
        <v>13.89</v>
      </c>
      <c r="K49" s="75">
        <v>13.81</v>
      </c>
      <c r="L49" s="75">
        <v>-3.6360000000000001</v>
      </c>
      <c r="M49" s="75">
        <v>-3.4830000000000001</v>
      </c>
      <c r="N49" s="105">
        <v>-3.274</v>
      </c>
      <c r="O49" s="104">
        <v>29.69</v>
      </c>
      <c r="P49" s="75">
        <v>29.596</v>
      </c>
      <c r="Q49" s="75">
        <v>29.638999999999999</v>
      </c>
      <c r="R49" s="75">
        <v>-4.3600000000000003</v>
      </c>
      <c r="S49" s="75">
        <v>-4.22</v>
      </c>
      <c r="T49" s="105">
        <v>-4.0199999999999996</v>
      </c>
      <c r="U49" s="104">
        <v>29.67</v>
      </c>
      <c r="V49" s="75">
        <v>29.66</v>
      </c>
      <c r="W49" s="75">
        <v>29.422999999999998</v>
      </c>
      <c r="X49" s="75">
        <v>-5.2</v>
      </c>
      <c r="Y49" s="75">
        <v>-5.43</v>
      </c>
      <c r="Z49" s="105">
        <v>-4.6870000000000003</v>
      </c>
      <c r="AA49" s="104">
        <v>11.75</v>
      </c>
      <c r="AB49" s="75">
        <v>11.83</v>
      </c>
      <c r="AC49" s="75">
        <v>11.88</v>
      </c>
      <c r="AD49" s="75">
        <v>-2.0179999999999998</v>
      </c>
      <c r="AE49" s="75">
        <v>-1.9610000000000001</v>
      </c>
      <c r="AF49" s="105">
        <v>-1.343</v>
      </c>
    </row>
    <row r="50" spans="2:32" x14ac:dyDescent="0.3">
      <c r="B50" s="111">
        <v>7.5000000000000044</v>
      </c>
      <c r="C50" s="104">
        <v>13.85</v>
      </c>
      <c r="D50" s="75">
        <v>13.87</v>
      </c>
      <c r="E50" s="75">
        <v>13.76</v>
      </c>
      <c r="F50" s="75">
        <v>-3.8460000000000001</v>
      </c>
      <c r="G50" s="75">
        <v>-3.8929999999999998</v>
      </c>
      <c r="H50" s="105">
        <v>-3.93</v>
      </c>
      <c r="I50" s="104">
        <v>13.8</v>
      </c>
      <c r="J50" s="75">
        <v>13.76</v>
      </c>
      <c r="K50" s="75">
        <v>13.68</v>
      </c>
      <c r="L50" s="75">
        <v>-3.6640000000000001</v>
      </c>
      <c r="M50" s="75">
        <v>-3.6659999999999999</v>
      </c>
      <c r="N50" s="105">
        <v>-3.3820000000000001</v>
      </c>
      <c r="O50" s="104">
        <v>29.58</v>
      </c>
      <c r="P50" s="75">
        <v>29.443000000000001</v>
      </c>
      <c r="Q50" s="75">
        <v>29.492999999999999</v>
      </c>
      <c r="R50" s="75">
        <v>-4.17</v>
      </c>
      <c r="S50" s="75">
        <v>-4.2300000000000004</v>
      </c>
      <c r="T50" s="105">
        <v>-4.226</v>
      </c>
      <c r="U50" s="104">
        <v>29.5</v>
      </c>
      <c r="V50" s="75">
        <v>29.48</v>
      </c>
      <c r="W50" s="75">
        <v>29.280999999999999</v>
      </c>
      <c r="X50" s="75">
        <v>-4.83</v>
      </c>
      <c r="Y50" s="75">
        <v>-5.17</v>
      </c>
      <c r="Z50" s="105">
        <v>-4.5339999999999998</v>
      </c>
      <c r="AA50" s="104">
        <v>11.6</v>
      </c>
      <c r="AB50" s="75">
        <v>11.71</v>
      </c>
      <c r="AC50" s="75">
        <v>11.74</v>
      </c>
      <c r="AD50" s="75">
        <v>-1.855</v>
      </c>
      <c r="AE50" s="75">
        <v>-1.4330000000000001</v>
      </c>
      <c r="AF50" s="105">
        <v>-1.492</v>
      </c>
    </row>
    <row r="51" spans="2:32" x14ac:dyDescent="0.3">
      <c r="B51" s="111">
        <v>7.6666666666666714</v>
      </c>
      <c r="C51" s="104">
        <v>13.7</v>
      </c>
      <c r="D51" s="75">
        <v>13.73</v>
      </c>
      <c r="E51" s="75">
        <v>13.6</v>
      </c>
      <c r="F51" s="75">
        <v>-4.1239999999999997</v>
      </c>
      <c r="G51" s="75">
        <v>-3.9769999999999999</v>
      </c>
      <c r="H51" s="105">
        <v>-4.6159999999999997</v>
      </c>
      <c r="I51" s="104">
        <v>13.66</v>
      </c>
      <c r="J51" s="75">
        <v>13.61</v>
      </c>
      <c r="K51" s="75">
        <v>13.53</v>
      </c>
      <c r="L51" s="75">
        <v>-3.637</v>
      </c>
      <c r="M51" s="75">
        <v>-3.3639999999999999</v>
      </c>
      <c r="N51" s="105">
        <v>-3.2490000000000001</v>
      </c>
      <c r="O51" s="104">
        <v>29.4</v>
      </c>
      <c r="P51" s="75">
        <v>29.297000000000001</v>
      </c>
      <c r="Q51" s="75">
        <v>29.344999999999999</v>
      </c>
      <c r="R51" s="75">
        <v>-4.34</v>
      </c>
      <c r="S51" s="75">
        <v>-4.1500000000000004</v>
      </c>
      <c r="T51" s="105">
        <v>-4.0220000000000002</v>
      </c>
      <c r="U51" s="104">
        <v>29.39</v>
      </c>
      <c r="V51" s="75">
        <v>29.36</v>
      </c>
      <c r="W51" s="75">
        <v>29.137</v>
      </c>
      <c r="X51" s="75">
        <v>-5.1100000000000003</v>
      </c>
      <c r="Y51" s="75">
        <v>-5.28</v>
      </c>
      <c r="Z51" s="105">
        <v>-4.5190000000000001</v>
      </c>
      <c r="AA51" s="104">
        <v>11.45</v>
      </c>
      <c r="AB51" s="75">
        <v>11.57</v>
      </c>
      <c r="AC51" s="75">
        <v>11.62</v>
      </c>
      <c r="AD51" s="75">
        <v>-1.9750000000000001</v>
      </c>
      <c r="AE51" s="75">
        <v>-1.411</v>
      </c>
      <c r="AF51" s="105">
        <v>-0.73199999999999998</v>
      </c>
    </row>
    <row r="52" spans="2:32" x14ac:dyDescent="0.3">
      <c r="B52" s="111">
        <v>7.8333333333333384</v>
      </c>
      <c r="C52" s="104">
        <v>13.54</v>
      </c>
      <c r="D52" s="75">
        <v>13.57</v>
      </c>
      <c r="E52" s="75">
        <v>13.45</v>
      </c>
      <c r="F52" s="75">
        <v>-4.4050000000000002</v>
      </c>
      <c r="G52" s="75">
        <v>-4.3819999999999997</v>
      </c>
      <c r="H52" s="105">
        <v>-4.3570000000000002</v>
      </c>
      <c r="I52" s="104">
        <v>13.5</v>
      </c>
      <c r="J52" s="75">
        <v>13.46</v>
      </c>
      <c r="K52" s="75">
        <v>13.38</v>
      </c>
      <c r="L52" s="75">
        <v>-3.83</v>
      </c>
      <c r="M52" s="75">
        <v>-3.5270000000000001</v>
      </c>
      <c r="N52" s="105">
        <v>-4</v>
      </c>
      <c r="O52" s="104">
        <v>29.25</v>
      </c>
      <c r="P52" s="75">
        <v>29.148</v>
      </c>
      <c r="Q52" s="75">
        <v>29.198</v>
      </c>
      <c r="R52" s="75">
        <v>-4.33</v>
      </c>
      <c r="S52" s="75">
        <v>-4.12</v>
      </c>
      <c r="T52" s="105">
        <v>-3.5760000000000001</v>
      </c>
      <c r="U52" s="104">
        <v>29.25</v>
      </c>
      <c r="V52" s="75">
        <v>29.21</v>
      </c>
      <c r="W52" s="75">
        <v>28.995000000000001</v>
      </c>
      <c r="X52" s="75">
        <v>-5.07</v>
      </c>
      <c r="Y52" s="75">
        <v>-5.21</v>
      </c>
      <c r="Z52" s="105">
        <v>-4.71</v>
      </c>
      <c r="AA52" s="104">
        <v>11.32</v>
      </c>
      <c r="AB52" s="75">
        <v>11.42</v>
      </c>
      <c r="AC52" s="75">
        <v>11.46</v>
      </c>
      <c r="AD52" s="75">
        <v>-2.02</v>
      </c>
      <c r="AE52" s="75">
        <v>-1.9139999999999999</v>
      </c>
      <c r="AF52" s="105">
        <v>-2.3809999999999998</v>
      </c>
    </row>
    <row r="53" spans="2:32" x14ac:dyDescent="0.3">
      <c r="B53" s="111">
        <v>8.0000000000000053</v>
      </c>
      <c r="C53" s="104">
        <v>13.38</v>
      </c>
      <c r="D53" s="75">
        <v>13.42</v>
      </c>
      <c r="E53" s="75">
        <v>13.3</v>
      </c>
      <c r="F53" s="75">
        <v>-4.5229999999999997</v>
      </c>
      <c r="G53" s="75">
        <v>-4.4009999999999998</v>
      </c>
      <c r="H53" s="105">
        <v>-4.3869999999999996</v>
      </c>
      <c r="I53" s="104">
        <v>13.34</v>
      </c>
      <c r="J53" s="75">
        <v>13.32</v>
      </c>
      <c r="K53" s="75">
        <v>13.22</v>
      </c>
      <c r="L53" s="75">
        <v>-4.226</v>
      </c>
      <c r="M53" s="75">
        <v>-3.9449999999999998</v>
      </c>
      <c r="N53" s="105">
        <v>-3.8650000000000002</v>
      </c>
      <c r="O53" s="104">
        <v>29.11</v>
      </c>
      <c r="P53" s="75">
        <v>28.998000000000001</v>
      </c>
      <c r="Q53" s="75">
        <v>29.047999999999998</v>
      </c>
      <c r="R53" s="75">
        <v>-4.6399999999999997</v>
      </c>
      <c r="S53" s="75">
        <v>-4.0199999999999996</v>
      </c>
      <c r="T53" s="105">
        <v>-3.5390000000000001</v>
      </c>
      <c r="U53" s="104">
        <v>29.06</v>
      </c>
      <c r="V53" s="75">
        <v>29.04</v>
      </c>
      <c r="W53" s="75">
        <v>28.85</v>
      </c>
      <c r="X53" s="75">
        <v>-5.74</v>
      </c>
      <c r="Y53" s="75">
        <v>-4.91</v>
      </c>
      <c r="Z53" s="105">
        <v>-4.4889999999999999</v>
      </c>
      <c r="AA53" s="104">
        <v>11.14</v>
      </c>
      <c r="AB53" s="75">
        <v>11.26</v>
      </c>
      <c r="AC53" s="75">
        <v>11.33</v>
      </c>
      <c r="AD53" s="75">
        <v>-2.1709999999999998</v>
      </c>
      <c r="AE53" s="75">
        <v>-2.0720000000000001</v>
      </c>
      <c r="AF53" s="105">
        <v>-0.86399999999999999</v>
      </c>
    </row>
    <row r="54" spans="2:32" x14ac:dyDescent="0.3">
      <c r="B54" s="111">
        <v>8.1666666666666714</v>
      </c>
      <c r="C54" s="104">
        <v>13.23</v>
      </c>
      <c r="D54" s="75">
        <v>13.27</v>
      </c>
      <c r="E54" s="75">
        <v>13.15</v>
      </c>
      <c r="F54" s="75">
        <v>-4.1660000000000004</v>
      </c>
      <c r="G54" s="75">
        <v>-4.3289999999999997</v>
      </c>
      <c r="H54" s="105">
        <v>-4.2809999999999997</v>
      </c>
      <c r="I54" s="104">
        <v>13.19</v>
      </c>
      <c r="J54" s="75">
        <v>13.16</v>
      </c>
      <c r="K54" s="75">
        <v>13.08</v>
      </c>
      <c r="L54" s="75">
        <v>-4.2480000000000002</v>
      </c>
      <c r="M54" s="75">
        <v>-3.762</v>
      </c>
      <c r="N54" s="105">
        <v>-3.85</v>
      </c>
      <c r="O54" s="104">
        <v>28.96</v>
      </c>
      <c r="P54" s="75">
        <v>28.849</v>
      </c>
      <c r="Q54" s="75">
        <v>28.904</v>
      </c>
      <c r="R54" s="75">
        <v>-4.3099999999999996</v>
      </c>
      <c r="S54" s="75">
        <v>-4.05</v>
      </c>
      <c r="T54" s="105">
        <v>-3.71</v>
      </c>
      <c r="U54" s="104">
        <v>28.96</v>
      </c>
      <c r="V54" s="75">
        <v>28.9</v>
      </c>
      <c r="W54" s="75">
        <v>28.706</v>
      </c>
      <c r="X54" s="75">
        <v>-4.99</v>
      </c>
      <c r="Y54" s="75">
        <v>-5.05</v>
      </c>
      <c r="Z54" s="105">
        <v>-4.4740000000000002</v>
      </c>
      <c r="AA54" s="104">
        <v>10.99</v>
      </c>
      <c r="AB54" s="75">
        <v>11.1</v>
      </c>
      <c r="AC54" s="75">
        <v>11.17</v>
      </c>
      <c r="AD54" s="75">
        <v>-2.0350000000000001</v>
      </c>
      <c r="AE54" s="75">
        <v>-2.3109999999999999</v>
      </c>
      <c r="AF54" s="105">
        <v>-1.724</v>
      </c>
    </row>
    <row r="55" spans="2:32" x14ac:dyDescent="0.3">
      <c r="B55" s="111">
        <v>8.3333333333333375</v>
      </c>
      <c r="C55" s="104">
        <v>13.07</v>
      </c>
      <c r="D55" s="75">
        <v>13.12</v>
      </c>
      <c r="E55" s="75">
        <v>13.01</v>
      </c>
      <c r="F55" s="75">
        <v>-4.2690000000000001</v>
      </c>
      <c r="G55" s="75">
        <v>-4.1440000000000001</v>
      </c>
      <c r="H55" s="105">
        <v>-4.3449999999999998</v>
      </c>
      <c r="I55" s="104">
        <v>13.03</v>
      </c>
      <c r="J55" s="75">
        <v>13.01</v>
      </c>
      <c r="K55" s="75">
        <v>12.93</v>
      </c>
      <c r="L55" s="75">
        <v>-3.9510000000000001</v>
      </c>
      <c r="M55" s="75">
        <v>-3.903</v>
      </c>
      <c r="N55" s="105">
        <v>-3.734</v>
      </c>
      <c r="O55" s="104">
        <v>28.81</v>
      </c>
      <c r="P55" s="75">
        <v>28.699000000000002</v>
      </c>
      <c r="Q55" s="75">
        <v>28.757000000000001</v>
      </c>
      <c r="R55" s="75">
        <v>-4.3</v>
      </c>
      <c r="S55" s="75">
        <v>-4.0199999999999996</v>
      </c>
      <c r="T55" s="105">
        <v>-3.68</v>
      </c>
      <c r="U55" s="104">
        <v>28.82</v>
      </c>
      <c r="V55" s="75">
        <v>28.75</v>
      </c>
      <c r="W55" s="75">
        <v>28.561</v>
      </c>
      <c r="X55" s="75">
        <v>-4.95</v>
      </c>
      <c r="Y55" s="75">
        <v>-4.9800000000000004</v>
      </c>
      <c r="Z55" s="105">
        <v>-4.125</v>
      </c>
      <c r="AA55" s="104">
        <v>10.85</v>
      </c>
      <c r="AB55" s="75">
        <v>10.96</v>
      </c>
      <c r="AC55" s="75">
        <v>11.04</v>
      </c>
      <c r="AD55" s="75">
        <v>-1.6459999999999999</v>
      </c>
      <c r="AE55" s="75">
        <v>-1.373</v>
      </c>
      <c r="AF55" s="105">
        <v>-1.2270000000000001</v>
      </c>
    </row>
    <row r="56" spans="2:32" x14ac:dyDescent="0.3">
      <c r="B56" s="111">
        <v>8.5000000000000036</v>
      </c>
      <c r="C56" s="104">
        <v>12.93</v>
      </c>
      <c r="D56" s="75">
        <v>12.97</v>
      </c>
      <c r="E56" s="75">
        <v>12.86</v>
      </c>
      <c r="F56" s="75">
        <v>-4.0670000000000002</v>
      </c>
      <c r="G56" s="75">
        <v>-4.3789999999999996</v>
      </c>
      <c r="H56" s="105">
        <v>-4.234</v>
      </c>
      <c r="I56" s="104">
        <v>12.89</v>
      </c>
      <c r="J56" s="75">
        <v>12.87</v>
      </c>
      <c r="K56" s="75">
        <v>12.79</v>
      </c>
      <c r="L56" s="75">
        <v>-3.952</v>
      </c>
      <c r="M56" s="75">
        <v>-3.6120000000000001</v>
      </c>
      <c r="N56" s="105">
        <v>-3.6880000000000002</v>
      </c>
      <c r="O56" s="104">
        <v>28.67</v>
      </c>
      <c r="P56" s="75">
        <v>28.548999999999999</v>
      </c>
      <c r="Q56" s="75">
        <v>28.608000000000001</v>
      </c>
      <c r="R56" s="75">
        <v>-4.6100000000000003</v>
      </c>
      <c r="S56" s="75">
        <v>-3.43</v>
      </c>
      <c r="T56" s="105">
        <v>-3.79</v>
      </c>
      <c r="U56" s="104">
        <v>28.61</v>
      </c>
      <c r="V56" s="75">
        <v>28.58</v>
      </c>
      <c r="W56" s="75">
        <v>28.419</v>
      </c>
      <c r="X56" s="75">
        <v>-4.72</v>
      </c>
      <c r="Y56" s="75">
        <v>-5.03</v>
      </c>
      <c r="Z56" s="105">
        <v>-4.4450000000000003</v>
      </c>
      <c r="AA56" s="104">
        <v>10.7</v>
      </c>
      <c r="AB56" s="75">
        <v>10.81</v>
      </c>
      <c r="AC56" s="75">
        <v>10.89</v>
      </c>
      <c r="AD56" s="75">
        <v>-1.9079999999999999</v>
      </c>
      <c r="AE56" s="75">
        <v>-1.827</v>
      </c>
      <c r="AF56" s="105">
        <v>-1.5680000000000001</v>
      </c>
    </row>
    <row r="57" spans="2:32" x14ac:dyDescent="0.3">
      <c r="B57" s="111">
        <v>8.6666666666666696</v>
      </c>
      <c r="C57" s="104">
        <v>12.79</v>
      </c>
      <c r="D57" s="75">
        <v>12.83</v>
      </c>
      <c r="E57" s="75">
        <v>12.72</v>
      </c>
      <c r="F57" s="75">
        <v>-4.0129999999999999</v>
      </c>
      <c r="G57" s="75">
        <v>-4.3179999999999996</v>
      </c>
      <c r="H57" s="105">
        <v>-4.2300000000000004</v>
      </c>
      <c r="I57" s="104">
        <v>12.74</v>
      </c>
      <c r="J57" s="75">
        <v>12.72</v>
      </c>
      <c r="K57" s="75">
        <v>12.65</v>
      </c>
      <c r="L57" s="75">
        <v>-3.7629999999999999</v>
      </c>
      <c r="M57" s="75">
        <v>-3.8090000000000002</v>
      </c>
      <c r="N57" s="105">
        <v>-3.6920000000000002</v>
      </c>
      <c r="O57" s="104">
        <v>28.51</v>
      </c>
      <c r="P57" s="75">
        <v>28.401</v>
      </c>
      <c r="Q57" s="75">
        <v>28.463000000000001</v>
      </c>
      <c r="R57" s="75">
        <v>-4.28</v>
      </c>
      <c r="S57" s="75">
        <v>-3.95</v>
      </c>
      <c r="T57" s="105">
        <v>-3.62</v>
      </c>
      <c r="U57" s="104">
        <v>28.53</v>
      </c>
      <c r="V57" s="75">
        <v>28.45</v>
      </c>
      <c r="W57" s="75">
        <v>28.274999999999999</v>
      </c>
      <c r="X57" s="75">
        <v>-4.87</v>
      </c>
      <c r="Y57" s="75">
        <v>-4.83</v>
      </c>
      <c r="Z57" s="105">
        <v>-4.43</v>
      </c>
      <c r="AA57" s="104">
        <v>10.56</v>
      </c>
      <c r="AB57" s="75">
        <v>10.67</v>
      </c>
      <c r="AC57" s="75">
        <v>10.74</v>
      </c>
      <c r="AD57" s="75">
        <v>-1.234</v>
      </c>
      <c r="AE57" s="75">
        <v>-1.7989999999999999</v>
      </c>
      <c r="AF57" s="105">
        <v>-1.8129999999999999</v>
      </c>
    </row>
    <row r="58" spans="2:32" x14ac:dyDescent="0.3">
      <c r="B58" s="111">
        <v>8.8333333333333357</v>
      </c>
      <c r="C58" s="104">
        <v>12.66</v>
      </c>
      <c r="D58" s="75">
        <v>12.68</v>
      </c>
      <c r="E58" s="75">
        <v>12.57</v>
      </c>
      <c r="F58" s="75">
        <v>-3.9169999999999998</v>
      </c>
      <c r="G58" s="75">
        <v>-4.202</v>
      </c>
      <c r="H58" s="105">
        <v>-4.7960000000000003</v>
      </c>
      <c r="I58" s="104">
        <v>12.61</v>
      </c>
      <c r="J58" s="75">
        <v>12.58</v>
      </c>
      <c r="K58" s="75">
        <v>12.5</v>
      </c>
      <c r="L58" s="75">
        <v>-3.633</v>
      </c>
      <c r="M58" s="75">
        <v>-3.6960000000000002</v>
      </c>
      <c r="N58" s="105">
        <v>-3.633</v>
      </c>
      <c r="O58" s="104">
        <v>28.37</v>
      </c>
      <c r="P58" s="75">
        <v>28.251000000000001</v>
      </c>
      <c r="Q58" s="75">
        <v>28.315999999999999</v>
      </c>
      <c r="R58" s="75">
        <v>-4.2699999999999996</v>
      </c>
      <c r="S58" s="75">
        <v>-3.92</v>
      </c>
      <c r="T58" s="105">
        <v>-3.59</v>
      </c>
      <c r="U58" s="104">
        <v>28.39</v>
      </c>
      <c r="V58" s="75">
        <v>28.3</v>
      </c>
      <c r="W58" s="75">
        <v>28.135000000000002</v>
      </c>
      <c r="X58" s="75">
        <v>-4.83</v>
      </c>
      <c r="Y58" s="75">
        <v>-4.75</v>
      </c>
      <c r="Z58" s="105">
        <v>-4.2569999999999997</v>
      </c>
      <c r="AA58" s="104">
        <v>10.42</v>
      </c>
      <c r="AB58" s="75">
        <v>10.53</v>
      </c>
      <c r="AC58" s="75">
        <v>10.59</v>
      </c>
      <c r="AD58" s="75">
        <v>-2.0830000000000002</v>
      </c>
      <c r="AE58" s="75">
        <v>-1.94</v>
      </c>
      <c r="AF58" s="105">
        <v>-1.3959999999999999</v>
      </c>
    </row>
    <row r="59" spans="2:32" x14ac:dyDescent="0.3">
      <c r="B59" s="111">
        <v>9.0000000000000018</v>
      </c>
      <c r="C59" s="104">
        <v>12.5</v>
      </c>
      <c r="D59" s="75">
        <v>12.52</v>
      </c>
      <c r="E59" s="75">
        <v>12.41</v>
      </c>
      <c r="F59" s="75">
        <v>-4.375</v>
      </c>
      <c r="G59" s="75">
        <v>-4.5620000000000003</v>
      </c>
      <c r="H59" s="105">
        <v>-4.5750000000000002</v>
      </c>
      <c r="I59" s="104">
        <v>12.46</v>
      </c>
      <c r="J59" s="75">
        <v>12.42</v>
      </c>
      <c r="K59" s="75">
        <v>12.34</v>
      </c>
      <c r="L59" s="75">
        <v>-3.5310000000000001</v>
      </c>
      <c r="M59" s="75">
        <v>-3.379</v>
      </c>
      <c r="N59" s="105">
        <v>-4.1749999999999998</v>
      </c>
      <c r="O59" s="104">
        <v>28.21</v>
      </c>
      <c r="P59" s="75">
        <v>28.097000000000001</v>
      </c>
      <c r="Q59" s="75">
        <v>28.17</v>
      </c>
      <c r="R59" s="75">
        <v>-4.25</v>
      </c>
      <c r="S59" s="75">
        <v>-3.55</v>
      </c>
      <c r="T59" s="105">
        <v>-3.54</v>
      </c>
      <c r="U59" s="104">
        <v>28.25</v>
      </c>
      <c r="V59" s="75">
        <v>28.11</v>
      </c>
      <c r="W59" s="75">
        <v>27.988</v>
      </c>
      <c r="X59" s="75">
        <v>-5.25</v>
      </c>
      <c r="Y59" s="75">
        <v>-4.62</v>
      </c>
      <c r="Z59" s="105">
        <v>-4.4000000000000004</v>
      </c>
      <c r="AA59" s="104">
        <v>10.28</v>
      </c>
      <c r="AB59" s="75">
        <v>10.39</v>
      </c>
      <c r="AC59" s="75">
        <v>10.54</v>
      </c>
      <c r="AD59" s="75">
        <v>-1.2789999999999999</v>
      </c>
      <c r="AE59" s="75">
        <v>-1.5109999999999999</v>
      </c>
      <c r="AF59" s="105">
        <v>3.06</v>
      </c>
    </row>
    <row r="60" spans="2:32" x14ac:dyDescent="0.3">
      <c r="B60" s="111">
        <v>9.1666666666666679</v>
      </c>
      <c r="C60" s="104">
        <v>12.35</v>
      </c>
      <c r="D60" s="75">
        <v>12.37</v>
      </c>
      <c r="E60" s="75">
        <v>12.25</v>
      </c>
      <c r="F60" s="75">
        <v>-4.415</v>
      </c>
      <c r="G60" s="75">
        <v>-4.4610000000000003</v>
      </c>
      <c r="H60" s="105">
        <v>-4.6790000000000003</v>
      </c>
      <c r="I60" s="104">
        <v>12.31</v>
      </c>
      <c r="J60" s="75">
        <v>12.27</v>
      </c>
      <c r="K60" s="75">
        <v>12.18</v>
      </c>
      <c r="L60" s="75">
        <v>-3.8860000000000001</v>
      </c>
      <c r="M60" s="75">
        <v>-4.0279999999999996</v>
      </c>
      <c r="N60" s="105">
        <v>-3.9489999999999998</v>
      </c>
      <c r="O60" s="104">
        <v>28.07</v>
      </c>
      <c r="P60" s="75">
        <v>27.952000000000002</v>
      </c>
      <c r="Q60" s="75">
        <v>28.021999999999998</v>
      </c>
      <c r="R60" s="75">
        <v>-4.25</v>
      </c>
      <c r="S60" s="75">
        <v>-3.85</v>
      </c>
      <c r="T60" s="105">
        <v>-3.53</v>
      </c>
      <c r="U60" s="104">
        <v>28.1</v>
      </c>
      <c r="V60" s="75">
        <v>28</v>
      </c>
      <c r="W60" s="75">
        <v>27.844999999999999</v>
      </c>
      <c r="X60" s="75">
        <v>-4.75</v>
      </c>
      <c r="Y60" s="75">
        <v>-4.5999999999999996</v>
      </c>
      <c r="Z60" s="105">
        <v>-4.3849999999999998</v>
      </c>
      <c r="AA60" s="104">
        <v>10.11</v>
      </c>
      <c r="AB60" s="75">
        <v>10.220000000000001</v>
      </c>
      <c r="AC60" s="75">
        <v>10.44</v>
      </c>
      <c r="AD60" s="75">
        <v>-2.6440000000000001</v>
      </c>
      <c r="AE60" s="75">
        <v>-2.2930000000000001</v>
      </c>
      <c r="AF60" s="105">
        <v>-1.0409999999999999</v>
      </c>
    </row>
    <row r="61" spans="2:32" x14ac:dyDescent="0.3">
      <c r="B61" s="111">
        <v>9.3333333333333339</v>
      </c>
      <c r="C61" s="104">
        <v>12.2</v>
      </c>
      <c r="D61" s="75">
        <v>12.22</v>
      </c>
      <c r="E61" s="75">
        <v>12.1</v>
      </c>
      <c r="F61" s="75">
        <v>-4.2460000000000004</v>
      </c>
      <c r="G61" s="75">
        <v>-4.375</v>
      </c>
      <c r="H61" s="105">
        <v>-4.3940000000000001</v>
      </c>
      <c r="I61" s="104">
        <v>12.16</v>
      </c>
      <c r="J61" s="75">
        <v>12.12</v>
      </c>
      <c r="K61" s="75">
        <v>12.02</v>
      </c>
      <c r="L61" s="75">
        <v>-4.0549999999999997</v>
      </c>
      <c r="M61" s="75">
        <v>-3.7770000000000001</v>
      </c>
      <c r="N61" s="105">
        <v>-4.101</v>
      </c>
      <c r="O61" s="104">
        <v>27.92</v>
      </c>
      <c r="P61" s="75">
        <v>27.803000000000001</v>
      </c>
      <c r="Q61" s="75">
        <v>27.875</v>
      </c>
      <c r="R61" s="75">
        <v>-4.24</v>
      </c>
      <c r="S61" s="75">
        <v>-3.82</v>
      </c>
      <c r="T61" s="105">
        <v>-3.49</v>
      </c>
      <c r="U61" s="104">
        <v>27.96</v>
      </c>
      <c r="V61" s="75">
        <v>27.85</v>
      </c>
      <c r="W61" s="75">
        <v>27.707000000000001</v>
      </c>
      <c r="X61" s="75">
        <v>-4.71</v>
      </c>
      <c r="Y61" s="75">
        <v>-4.5199999999999996</v>
      </c>
      <c r="Z61" s="105">
        <v>-4.0350000000000001</v>
      </c>
      <c r="AA61" s="104">
        <v>9.9600000000000009</v>
      </c>
      <c r="AB61" s="75">
        <v>10.07</v>
      </c>
      <c r="AC61" s="75">
        <v>10.29</v>
      </c>
      <c r="AD61" s="75">
        <v>-1.847</v>
      </c>
      <c r="AE61" s="75">
        <v>-2.0129999999999999</v>
      </c>
      <c r="AF61" s="105">
        <v>-2.0790000000000002</v>
      </c>
    </row>
    <row r="62" spans="2:32" x14ac:dyDescent="0.3">
      <c r="B62" s="111">
        <v>9.5</v>
      </c>
      <c r="C62" s="104">
        <v>12.05</v>
      </c>
      <c r="D62" s="75">
        <v>12.08</v>
      </c>
      <c r="E62" s="75">
        <v>11.96</v>
      </c>
      <c r="F62" s="75">
        <v>-4.3109999999999999</v>
      </c>
      <c r="G62" s="75">
        <v>-4.2690000000000001</v>
      </c>
      <c r="H62" s="105">
        <v>-4.3209999999999997</v>
      </c>
      <c r="I62" s="104">
        <v>12</v>
      </c>
      <c r="J62" s="75">
        <v>11.97</v>
      </c>
      <c r="K62" s="75">
        <v>11.89</v>
      </c>
      <c r="L62" s="75">
        <v>-3.923</v>
      </c>
      <c r="M62" s="75">
        <v>-3.774</v>
      </c>
      <c r="N62" s="105">
        <v>-3.7410000000000001</v>
      </c>
      <c r="O62" s="104">
        <v>27.8</v>
      </c>
      <c r="P62" s="75">
        <v>27.652999999999999</v>
      </c>
      <c r="Q62" s="75">
        <v>27.728999999999999</v>
      </c>
      <c r="R62" s="75">
        <v>-4.28</v>
      </c>
      <c r="S62" s="75">
        <v>-4.1100000000000003</v>
      </c>
      <c r="T62" s="105">
        <v>-3.29</v>
      </c>
      <c r="U62" s="104">
        <v>27.81</v>
      </c>
      <c r="V62" s="75">
        <v>27.72</v>
      </c>
      <c r="W62" s="75">
        <v>27.556999999999999</v>
      </c>
      <c r="X62" s="75">
        <v>-4.54</v>
      </c>
      <c r="Y62" s="75">
        <v>-4.3499999999999996</v>
      </c>
      <c r="Z62" s="105">
        <v>-4.3559999999999999</v>
      </c>
      <c r="AA62" s="104">
        <v>9.81</v>
      </c>
      <c r="AB62" s="75">
        <v>9.93</v>
      </c>
      <c r="AC62" s="75">
        <v>10.1</v>
      </c>
      <c r="AD62" s="75">
        <v>-1.8149999999999999</v>
      </c>
      <c r="AE62" s="75">
        <v>-1.2509999999999999</v>
      </c>
      <c r="AF62" s="105">
        <v>-2.512</v>
      </c>
    </row>
    <row r="63" spans="2:32" x14ac:dyDescent="0.3">
      <c r="B63" s="111">
        <v>9.6666666666666661</v>
      </c>
      <c r="C63" s="104">
        <v>11.91</v>
      </c>
      <c r="D63" s="75">
        <v>11.93</v>
      </c>
      <c r="E63" s="75">
        <v>11.82</v>
      </c>
      <c r="F63" s="75">
        <v>-4.1909999999999998</v>
      </c>
      <c r="G63" s="75">
        <v>-4.5</v>
      </c>
      <c r="H63" s="105">
        <v>-4.2510000000000003</v>
      </c>
      <c r="I63" s="104">
        <v>11.86</v>
      </c>
      <c r="J63" s="75">
        <v>11.82</v>
      </c>
      <c r="K63" s="75">
        <v>11.74</v>
      </c>
      <c r="L63" s="75">
        <v>-3.9489999999999998</v>
      </c>
      <c r="M63" s="75">
        <v>-3.5880000000000001</v>
      </c>
      <c r="N63" s="105">
        <v>-3.532</v>
      </c>
      <c r="O63" s="104">
        <v>27.63</v>
      </c>
      <c r="P63" s="75">
        <v>27.504000000000001</v>
      </c>
      <c r="Q63" s="75">
        <v>27.581</v>
      </c>
      <c r="R63" s="75">
        <v>-4.22</v>
      </c>
      <c r="S63" s="75">
        <v>-3.75</v>
      </c>
      <c r="T63" s="105">
        <v>-3.43</v>
      </c>
      <c r="U63" s="104">
        <v>27.67</v>
      </c>
      <c r="V63" s="75">
        <v>27.54</v>
      </c>
      <c r="W63" s="75">
        <v>27.414000000000001</v>
      </c>
      <c r="X63" s="75">
        <v>-4.63</v>
      </c>
      <c r="Y63" s="75">
        <v>-4.37</v>
      </c>
      <c r="Z63" s="105">
        <v>-4.3410000000000002</v>
      </c>
      <c r="AA63" s="104">
        <v>9.65</v>
      </c>
      <c r="AB63" s="75">
        <v>9.77</v>
      </c>
      <c r="AC63" s="75">
        <v>9.93</v>
      </c>
      <c r="AD63" s="75">
        <v>-2.2559999999999998</v>
      </c>
      <c r="AE63" s="75">
        <v>-2.028</v>
      </c>
      <c r="AF63" s="105">
        <v>-1.9710000000000001</v>
      </c>
    </row>
    <row r="64" spans="2:32" x14ac:dyDescent="0.3">
      <c r="B64" s="111">
        <v>9.8333333333333321</v>
      </c>
      <c r="C64" s="104">
        <v>11.76</v>
      </c>
      <c r="D64" s="75">
        <v>11.78</v>
      </c>
      <c r="E64" s="75">
        <v>11.67</v>
      </c>
      <c r="F64" s="75">
        <v>-4.3330000000000002</v>
      </c>
      <c r="G64" s="75">
        <v>-4.2300000000000004</v>
      </c>
      <c r="H64" s="105">
        <v>-4.3040000000000003</v>
      </c>
      <c r="I64" s="104">
        <v>11.72</v>
      </c>
      <c r="J64" s="75">
        <v>11.68</v>
      </c>
      <c r="K64" s="75">
        <v>11.6</v>
      </c>
      <c r="L64" s="75">
        <v>-3.706</v>
      </c>
      <c r="M64" s="75">
        <v>-3.93</v>
      </c>
      <c r="N64" s="105">
        <v>-3.5950000000000002</v>
      </c>
      <c r="O64" s="104">
        <v>27.48</v>
      </c>
      <c r="P64" s="75">
        <v>27.355</v>
      </c>
      <c r="Q64" s="75">
        <v>27.434000000000001</v>
      </c>
      <c r="R64" s="75">
        <v>-4.21</v>
      </c>
      <c r="S64" s="75">
        <v>-3.72</v>
      </c>
      <c r="T64" s="105">
        <v>-3.4</v>
      </c>
      <c r="U64" s="104">
        <v>27.53</v>
      </c>
      <c r="V64" s="75">
        <v>27.39</v>
      </c>
      <c r="W64" s="75">
        <v>27.273</v>
      </c>
      <c r="X64" s="75">
        <v>-4.59</v>
      </c>
      <c r="Y64" s="75">
        <v>-4.29</v>
      </c>
      <c r="Z64" s="105">
        <v>-4.1760000000000002</v>
      </c>
      <c r="AA64" s="104">
        <v>9.51</v>
      </c>
      <c r="AB64" s="75">
        <v>9.6199999999999992</v>
      </c>
      <c r="AC64" s="75">
        <v>9.77</v>
      </c>
      <c r="AD64" s="75">
        <v>-1.3460000000000001</v>
      </c>
      <c r="AE64" s="75">
        <v>-1.5680000000000001</v>
      </c>
      <c r="AF64" s="105">
        <v>-1.149</v>
      </c>
    </row>
    <row r="65" spans="2:32" x14ac:dyDescent="0.3">
      <c r="B65" s="111">
        <v>9.9999999999999982</v>
      </c>
      <c r="C65" s="104">
        <v>11.62</v>
      </c>
      <c r="D65" s="75">
        <v>11.64</v>
      </c>
      <c r="E65" s="75">
        <v>11.53</v>
      </c>
      <c r="F65" s="75">
        <v>-4.1879999999999997</v>
      </c>
      <c r="G65" s="75">
        <v>-4.4400000000000004</v>
      </c>
      <c r="H65" s="105">
        <v>-4.47</v>
      </c>
      <c r="I65" s="104">
        <v>11.57</v>
      </c>
      <c r="J65" s="75">
        <v>11.53</v>
      </c>
      <c r="K65" s="75">
        <v>11.46</v>
      </c>
      <c r="L65" s="75">
        <v>-3.8439999999999999</v>
      </c>
      <c r="M65" s="75">
        <v>-3.452</v>
      </c>
      <c r="N65" s="105">
        <v>-3.6320000000000001</v>
      </c>
      <c r="O65" s="104">
        <v>27.37</v>
      </c>
      <c r="P65" s="75">
        <v>27.204999999999998</v>
      </c>
      <c r="Q65" s="75">
        <v>27.283999999999999</v>
      </c>
      <c r="R65" s="75">
        <v>-4.29</v>
      </c>
      <c r="S65" s="75">
        <v>-3.15</v>
      </c>
      <c r="T65" s="105">
        <v>-3.61</v>
      </c>
      <c r="U65" s="104">
        <v>27.37</v>
      </c>
      <c r="V65" s="75">
        <v>27.17</v>
      </c>
      <c r="W65" s="75">
        <v>27.126000000000001</v>
      </c>
      <c r="X65" s="75">
        <v>-4.51</v>
      </c>
      <c r="Y65" s="75">
        <v>-4.47</v>
      </c>
      <c r="Z65" s="105">
        <v>-4.3109999999999999</v>
      </c>
      <c r="AA65" s="104">
        <v>9.3699999999999992</v>
      </c>
      <c r="AB65" s="75">
        <v>9.4700000000000006</v>
      </c>
      <c r="AC65" s="75">
        <v>9.59</v>
      </c>
      <c r="AD65" s="75">
        <v>-1.492</v>
      </c>
      <c r="AE65" s="75">
        <v>-1.742</v>
      </c>
      <c r="AF65" s="105">
        <v>-1.474</v>
      </c>
    </row>
    <row r="66" spans="2:32" x14ac:dyDescent="0.3">
      <c r="B66" s="111">
        <v>10.166666666666664</v>
      </c>
      <c r="C66" s="104">
        <v>11.47</v>
      </c>
      <c r="D66" s="75">
        <v>11.49</v>
      </c>
      <c r="E66" s="75">
        <v>11.37</v>
      </c>
      <c r="F66" s="75">
        <v>-4.4130000000000003</v>
      </c>
      <c r="G66" s="75">
        <v>-4.3680000000000003</v>
      </c>
      <c r="H66" s="105">
        <v>-4.7249999999999996</v>
      </c>
      <c r="I66" s="104">
        <v>11.42</v>
      </c>
      <c r="J66" s="75">
        <v>11.39</v>
      </c>
      <c r="K66" s="75">
        <v>11.29</v>
      </c>
      <c r="L66" s="75">
        <v>-3.7240000000000002</v>
      </c>
      <c r="M66" s="75">
        <v>-3.6070000000000002</v>
      </c>
      <c r="N66" s="105">
        <v>-3.7229999999999999</v>
      </c>
      <c r="O66" s="104">
        <v>27.19</v>
      </c>
      <c r="P66" s="75">
        <v>27.056000000000001</v>
      </c>
      <c r="Q66" s="75">
        <v>27.14</v>
      </c>
      <c r="R66" s="75">
        <v>-4.1900000000000004</v>
      </c>
      <c r="S66" s="75">
        <v>-3.65</v>
      </c>
      <c r="T66" s="105">
        <v>-3.34</v>
      </c>
      <c r="U66" s="104">
        <v>27.24</v>
      </c>
      <c r="V66" s="75">
        <v>27.09</v>
      </c>
      <c r="W66" s="75">
        <v>26.983000000000001</v>
      </c>
      <c r="X66" s="75">
        <v>-4.51</v>
      </c>
      <c r="Y66" s="75">
        <v>-4.1399999999999997</v>
      </c>
      <c r="Z66" s="105">
        <v>-4.2960000000000003</v>
      </c>
      <c r="AA66" s="104">
        <v>9.2200000000000006</v>
      </c>
      <c r="AB66" s="75">
        <v>9.33</v>
      </c>
      <c r="AC66" s="75">
        <v>9.43</v>
      </c>
      <c r="AD66" s="75">
        <v>-1.538</v>
      </c>
      <c r="AE66" s="75">
        <v>-0.995</v>
      </c>
      <c r="AF66" s="105">
        <v>-2.077</v>
      </c>
    </row>
    <row r="67" spans="2:32" x14ac:dyDescent="0.3">
      <c r="B67" s="111">
        <v>10.33333333333333</v>
      </c>
      <c r="C67" s="104">
        <v>11.3</v>
      </c>
      <c r="D67" s="75">
        <v>11.32</v>
      </c>
      <c r="E67" s="75">
        <v>11.21</v>
      </c>
      <c r="F67" s="75">
        <v>-4.7869999999999999</v>
      </c>
      <c r="G67" s="75">
        <v>-4.7919999999999998</v>
      </c>
      <c r="H67" s="105">
        <v>-4.7130000000000001</v>
      </c>
      <c r="I67" s="104">
        <v>11.26</v>
      </c>
      <c r="J67" s="75">
        <v>11.22</v>
      </c>
      <c r="K67" s="75">
        <v>11.15</v>
      </c>
      <c r="L67" s="75">
        <v>-3.9319999999999999</v>
      </c>
      <c r="M67" s="75">
        <v>-3.6309999999999998</v>
      </c>
      <c r="N67" s="105">
        <v>-4.1619999999999999</v>
      </c>
      <c r="O67" s="104">
        <v>27.04</v>
      </c>
      <c r="P67" s="75">
        <v>26.907</v>
      </c>
      <c r="Q67" s="75">
        <v>26.992999999999999</v>
      </c>
      <c r="R67" s="75">
        <v>-4.18</v>
      </c>
      <c r="S67" s="75">
        <v>-3.62</v>
      </c>
      <c r="T67" s="105">
        <v>-3.31</v>
      </c>
      <c r="U67" s="104">
        <v>27.1</v>
      </c>
      <c r="V67" s="75">
        <v>26.94</v>
      </c>
      <c r="W67" s="75">
        <v>26.84</v>
      </c>
      <c r="X67" s="75">
        <v>-4.47</v>
      </c>
      <c r="Y67" s="75">
        <v>-4.0599999999999996</v>
      </c>
      <c r="Z67" s="105">
        <v>-4.1589999999999998</v>
      </c>
      <c r="AA67" s="104">
        <v>9.08</v>
      </c>
      <c r="AB67" s="75">
        <v>9.18</v>
      </c>
      <c r="AC67" s="75">
        <v>9.27</v>
      </c>
      <c r="AD67" s="75">
        <v>-1.282</v>
      </c>
      <c r="AE67" s="75">
        <v>-1.298</v>
      </c>
      <c r="AF67" s="105">
        <v>-1.2030000000000001</v>
      </c>
    </row>
    <row r="68" spans="2:32" x14ac:dyDescent="0.3">
      <c r="B68" s="111">
        <v>10.499999999999996</v>
      </c>
      <c r="C68" s="104">
        <v>11.15</v>
      </c>
      <c r="D68" s="75">
        <v>11.18</v>
      </c>
      <c r="E68" s="75">
        <v>11.07</v>
      </c>
      <c r="F68" s="75">
        <v>-4.5620000000000003</v>
      </c>
      <c r="G68" s="75">
        <v>-4.6260000000000003</v>
      </c>
      <c r="H68" s="105">
        <v>-4.6779999999999999</v>
      </c>
      <c r="I68" s="104">
        <v>11.12</v>
      </c>
      <c r="J68" s="75">
        <v>11.12</v>
      </c>
      <c r="K68" s="75">
        <v>11.12</v>
      </c>
      <c r="L68" s="75">
        <v>-5.899</v>
      </c>
      <c r="M68" s="75">
        <v>-3.9780000000000002</v>
      </c>
      <c r="N68" s="105">
        <v>-4.1360000000000001</v>
      </c>
      <c r="O68" s="104">
        <v>26.86</v>
      </c>
      <c r="P68" s="75">
        <v>26.754999999999999</v>
      </c>
      <c r="Q68" s="75">
        <v>26.844999999999999</v>
      </c>
      <c r="R68" s="75">
        <v>-3.84</v>
      </c>
      <c r="S68" s="75">
        <v>-3.43</v>
      </c>
      <c r="T68" s="105">
        <v>-3.17</v>
      </c>
      <c r="U68" s="104">
        <v>26.98</v>
      </c>
      <c r="V68" s="75">
        <v>26.78</v>
      </c>
      <c r="W68" s="75">
        <v>26.696000000000002</v>
      </c>
      <c r="X68" s="75">
        <v>-5.29</v>
      </c>
      <c r="Y68" s="75">
        <v>-3.69</v>
      </c>
      <c r="Z68" s="105">
        <v>-4.2670000000000003</v>
      </c>
      <c r="AA68" s="104">
        <v>8.92</v>
      </c>
      <c r="AB68" s="75">
        <v>9.01</v>
      </c>
      <c r="AC68" s="75">
        <v>9.11</v>
      </c>
      <c r="AD68" s="75">
        <v>-2.004</v>
      </c>
      <c r="AE68" s="75">
        <v>-1.615</v>
      </c>
      <c r="AF68" s="105">
        <v>-1.637</v>
      </c>
    </row>
    <row r="69" spans="2:32" x14ac:dyDescent="0.3">
      <c r="B69" s="111">
        <v>10.666666666666663</v>
      </c>
      <c r="C69" s="104">
        <v>11.09</v>
      </c>
      <c r="D69" s="75">
        <v>11.04</v>
      </c>
      <c r="E69" s="75">
        <v>10.9</v>
      </c>
      <c r="F69" s="75">
        <v>-4.0140000000000002</v>
      </c>
      <c r="G69" s="75">
        <v>-4.4059999999999997</v>
      </c>
      <c r="H69" s="105">
        <v>-4.9180000000000001</v>
      </c>
      <c r="I69" s="104">
        <v>11.15</v>
      </c>
      <c r="J69" s="75">
        <v>11.12</v>
      </c>
      <c r="K69" s="75">
        <v>11.1</v>
      </c>
      <c r="L69" s="75">
        <v>-6.9749999999999996</v>
      </c>
      <c r="M69" s="75">
        <v>-4.34</v>
      </c>
      <c r="N69" s="105">
        <v>-5.9710000000000001</v>
      </c>
      <c r="O69" s="104">
        <v>26.74</v>
      </c>
      <c r="P69" s="75">
        <v>26.608000000000001</v>
      </c>
      <c r="Q69" s="75">
        <v>26.699000000000002</v>
      </c>
      <c r="R69" s="75">
        <v>-4.1500000000000004</v>
      </c>
      <c r="S69" s="75">
        <v>-3.55</v>
      </c>
      <c r="T69" s="105">
        <v>-3.25</v>
      </c>
      <c r="U69" s="104">
        <v>26.82</v>
      </c>
      <c r="V69" s="75">
        <v>26.64</v>
      </c>
      <c r="W69" s="75">
        <v>26.552</v>
      </c>
      <c r="X69" s="75">
        <v>-4.3899999999999997</v>
      </c>
      <c r="Y69" s="75">
        <v>-3.91</v>
      </c>
      <c r="Z69" s="105">
        <v>-4.2519999999999998</v>
      </c>
      <c r="AA69" s="104">
        <v>8.76</v>
      </c>
      <c r="AB69" s="75">
        <v>8.8699999999999992</v>
      </c>
      <c r="AC69" s="75">
        <v>8.9499999999999993</v>
      </c>
      <c r="AD69" s="75">
        <v>-1.7490000000000001</v>
      </c>
      <c r="AE69" s="75">
        <v>-1.56</v>
      </c>
      <c r="AF69" s="105">
        <v>-1.363</v>
      </c>
    </row>
    <row r="70" spans="2:32" x14ac:dyDescent="0.3">
      <c r="B70" s="111">
        <v>10.833333333333329</v>
      </c>
      <c r="C70" s="104">
        <v>10.96</v>
      </c>
      <c r="D70" s="75">
        <v>10.89</v>
      </c>
      <c r="E70" s="75">
        <v>10.75</v>
      </c>
      <c r="F70" s="75">
        <v>-4.0140000000000002</v>
      </c>
      <c r="G70" s="75">
        <v>-4.4459999999999997</v>
      </c>
      <c r="H70" s="105">
        <v>-4.7009999999999996</v>
      </c>
      <c r="I70" s="104">
        <v>11.13</v>
      </c>
      <c r="J70" s="75">
        <v>11.1</v>
      </c>
      <c r="K70" s="75">
        <v>11.05</v>
      </c>
      <c r="L70" s="75">
        <v>-8.4969999999999999</v>
      </c>
      <c r="M70" s="75">
        <v>-6.9630000000000001</v>
      </c>
      <c r="N70" s="105">
        <v>-9.9</v>
      </c>
      <c r="O70" s="104">
        <v>26.6</v>
      </c>
      <c r="P70" s="75">
        <v>26.457999999999998</v>
      </c>
      <c r="Q70" s="75">
        <v>26.552</v>
      </c>
      <c r="R70" s="75">
        <v>-4.1399999999999997</v>
      </c>
      <c r="S70" s="75">
        <v>-3.52</v>
      </c>
      <c r="T70" s="105">
        <v>-3.22</v>
      </c>
      <c r="U70" s="104">
        <v>26.67</v>
      </c>
      <c r="V70" s="75">
        <v>26.49</v>
      </c>
      <c r="W70" s="75">
        <v>26.41</v>
      </c>
      <c r="X70" s="75">
        <v>-4.3499999999999996</v>
      </c>
      <c r="Y70" s="75">
        <v>-3.84</v>
      </c>
      <c r="Z70" s="105">
        <v>-4.0990000000000002</v>
      </c>
      <c r="AA70" s="104">
        <v>8.61</v>
      </c>
      <c r="AB70" s="75">
        <v>8.6999999999999993</v>
      </c>
      <c r="AC70" s="75">
        <v>8.8000000000000007</v>
      </c>
      <c r="AD70" s="75">
        <v>-1.8169999999999999</v>
      </c>
      <c r="AE70" s="75">
        <v>-2.09</v>
      </c>
      <c r="AF70" s="105">
        <v>-1.5580000000000001</v>
      </c>
    </row>
    <row r="71" spans="2:32" x14ac:dyDescent="0.3">
      <c r="B71" s="111">
        <v>10.999999999999995</v>
      </c>
      <c r="C71" s="104">
        <v>10.8</v>
      </c>
      <c r="D71" s="75">
        <v>10.75</v>
      </c>
      <c r="E71" s="75">
        <v>10.61</v>
      </c>
      <c r="F71" s="75">
        <v>-4.7770000000000001</v>
      </c>
      <c r="G71" s="75">
        <v>-4.4089999999999998</v>
      </c>
      <c r="H71" s="105">
        <v>-4.4960000000000004</v>
      </c>
      <c r="I71" s="104">
        <v>11.07</v>
      </c>
      <c r="J71" s="75">
        <v>11.05</v>
      </c>
      <c r="K71" s="75">
        <v>11</v>
      </c>
      <c r="L71" s="75">
        <v>-9.4090000000000007</v>
      </c>
      <c r="M71" s="75">
        <v>-10.039999999999999</v>
      </c>
      <c r="N71" s="105">
        <v>-12.45</v>
      </c>
      <c r="O71" s="104">
        <v>26.47</v>
      </c>
      <c r="P71" s="75">
        <v>26.311</v>
      </c>
      <c r="Q71" s="75">
        <v>26.402000000000001</v>
      </c>
      <c r="R71" s="75">
        <v>-3.88</v>
      </c>
      <c r="S71" s="75">
        <v>-3.56</v>
      </c>
      <c r="T71" s="105">
        <v>-2.91</v>
      </c>
      <c r="U71" s="104">
        <v>26.51</v>
      </c>
      <c r="V71" s="75">
        <v>26.29</v>
      </c>
      <c r="W71" s="75">
        <v>26.265000000000001</v>
      </c>
      <c r="X71" s="75">
        <v>-4.72</v>
      </c>
      <c r="Y71" s="75">
        <v>-3.38</v>
      </c>
      <c r="Z71" s="105">
        <v>-4.2220000000000004</v>
      </c>
      <c r="AA71" s="104">
        <v>8.4700000000000006</v>
      </c>
      <c r="AB71" s="75">
        <v>8.58</v>
      </c>
      <c r="AC71" s="75">
        <v>8.66</v>
      </c>
      <c r="AD71" s="75">
        <v>-1.341</v>
      </c>
      <c r="AE71" s="75">
        <v>-0.80200000000000005</v>
      </c>
      <c r="AF71" s="105">
        <v>-1.163</v>
      </c>
    </row>
    <row r="72" spans="2:32" x14ac:dyDescent="0.3">
      <c r="B72" s="111">
        <v>11.166666666666661</v>
      </c>
      <c r="C72" s="104">
        <v>10.64</v>
      </c>
      <c r="D72" s="75">
        <v>10.61</v>
      </c>
      <c r="E72" s="75">
        <v>10.47</v>
      </c>
      <c r="F72" s="75">
        <v>-4.9550000000000001</v>
      </c>
      <c r="G72" s="75">
        <v>-4.3609999999999998</v>
      </c>
      <c r="H72" s="105">
        <v>-4.343</v>
      </c>
      <c r="I72" s="104">
        <v>10.99</v>
      </c>
      <c r="J72" s="75">
        <v>10.98</v>
      </c>
      <c r="K72" s="75">
        <v>10.93</v>
      </c>
      <c r="L72" s="75">
        <v>-11.54</v>
      </c>
      <c r="M72" s="75">
        <v>-12.42</v>
      </c>
      <c r="N72" s="105">
        <v>-13.89</v>
      </c>
      <c r="O72" s="104">
        <v>26.3</v>
      </c>
      <c r="P72" s="75">
        <v>26.16</v>
      </c>
      <c r="Q72" s="75">
        <v>26.257999999999999</v>
      </c>
      <c r="R72" s="75">
        <v>-4.12</v>
      </c>
      <c r="S72" s="75">
        <v>-3.45</v>
      </c>
      <c r="T72" s="105">
        <v>-3.16</v>
      </c>
      <c r="U72" s="104">
        <v>26.38</v>
      </c>
      <c r="V72" s="75">
        <v>26.19</v>
      </c>
      <c r="W72" s="75">
        <v>26.120999999999999</v>
      </c>
      <c r="X72" s="75">
        <v>-4.827</v>
      </c>
      <c r="Y72" s="75">
        <v>-3.5230000000000001</v>
      </c>
      <c r="Z72" s="105">
        <v>-4.1879999999999997</v>
      </c>
      <c r="AA72" s="104">
        <v>8.34</v>
      </c>
      <c r="AB72" s="75">
        <v>8.43</v>
      </c>
      <c r="AC72" s="75">
        <v>8.5</v>
      </c>
      <c r="AD72" s="75">
        <v>-1.0620000000000001</v>
      </c>
      <c r="AE72" s="75">
        <v>-1.794</v>
      </c>
      <c r="AF72" s="105">
        <v>-1.5369999999999999</v>
      </c>
    </row>
    <row r="73" spans="2:32" x14ac:dyDescent="0.3">
      <c r="B73" s="111">
        <v>11.333333333333327</v>
      </c>
      <c r="C73" s="104">
        <v>10.48</v>
      </c>
      <c r="D73" s="75">
        <v>10.47</v>
      </c>
      <c r="E73" s="75">
        <v>10.34</v>
      </c>
      <c r="F73" s="75">
        <v>-4.9260000000000002</v>
      </c>
      <c r="G73" s="75">
        <v>-4.4560000000000004</v>
      </c>
      <c r="H73" s="105">
        <v>-4.4139999999999997</v>
      </c>
      <c r="I73" s="104">
        <v>10.91</v>
      </c>
      <c r="J73" s="75">
        <v>10.9</v>
      </c>
      <c r="K73" s="75">
        <v>10.86</v>
      </c>
      <c r="L73" s="75">
        <v>-13.91</v>
      </c>
      <c r="M73" s="75">
        <v>-14.05</v>
      </c>
      <c r="N73" s="105">
        <v>-15.08</v>
      </c>
      <c r="O73" s="104">
        <v>26.15</v>
      </c>
      <c r="P73" s="75">
        <v>26.01</v>
      </c>
      <c r="Q73" s="75">
        <v>26.111999999999998</v>
      </c>
      <c r="R73" s="75">
        <v>-4.1100000000000003</v>
      </c>
      <c r="S73" s="75">
        <v>-3.42</v>
      </c>
      <c r="T73" s="105">
        <v>-3.13</v>
      </c>
      <c r="U73" s="104">
        <v>26.24</v>
      </c>
      <c r="V73" s="75">
        <v>26.03</v>
      </c>
      <c r="W73" s="75">
        <v>25.974</v>
      </c>
      <c r="X73" s="75">
        <v>-4.524</v>
      </c>
      <c r="Y73" s="75">
        <v>-2.9390000000000001</v>
      </c>
      <c r="Z73" s="105">
        <v>-4.4320000000000004</v>
      </c>
      <c r="AA73" s="104">
        <v>8.19</v>
      </c>
      <c r="AB73" s="75">
        <v>8.3000000000000007</v>
      </c>
      <c r="AC73" s="75">
        <v>8.3800000000000008</v>
      </c>
      <c r="AD73" s="75">
        <v>-1.002</v>
      </c>
      <c r="AE73" s="75">
        <v>-1.1180000000000001</v>
      </c>
      <c r="AF73" s="105">
        <v>-0.67500000000000004</v>
      </c>
    </row>
    <row r="74" spans="2:32" x14ac:dyDescent="0.3">
      <c r="B74" s="111">
        <v>11.499999999999993</v>
      </c>
      <c r="C74" s="104">
        <v>10.32</v>
      </c>
      <c r="D74" s="75">
        <v>10.32</v>
      </c>
      <c r="E74" s="75">
        <v>10.18</v>
      </c>
      <c r="F74" s="75">
        <v>-4.9180000000000001</v>
      </c>
      <c r="G74" s="75">
        <v>-4.7149999999999999</v>
      </c>
      <c r="H74" s="105">
        <v>-4.7910000000000004</v>
      </c>
      <c r="I74" s="104">
        <v>10.82</v>
      </c>
      <c r="J74" s="75">
        <v>10.83</v>
      </c>
      <c r="K74" s="75">
        <v>10.77</v>
      </c>
      <c r="L74" s="75">
        <v>-15.69</v>
      </c>
      <c r="M74" s="75">
        <v>-15.56</v>
      </c>
      <c r="N74" s="105">
        <v>-16.52</v>
      </c>
      <c r="O74" s="104">
        <v>26.01</v>
      </c>
      <c r="P74" s="75">
        <v>25.86</v>
      </c>
      <c r="Q74" s="75">
        <v>25.966999999999999</v>
      </c>
      <c r="R74" s="75">
        <v>-4.28</v>
      </c>
      <c r="S74" s="75">
        <v>-2.98</v>
      </c>
      <c r="T74" s="105">
        <v>-3.39</v>
      </c>
      <c r="U74" s="104">
        <v>26.1</v>
      </c>
      <c r="V74" s="75">
        <v>25.91</v>
      </c>
      <c r="W74" s="75">
        <v>25.834</v>
      </c>
      <c r="X74" s="75">
        <v>-4.4649999999999999</v>
      </c>
      <c r="Y74" s="75">
        <v>-3.64</v>
      </c>
      <c r="Z74" s="105">
        <v>-4.2</v>
      </c>
      <c r="AA74" s="104">
        <v>8.0500000000000007</v>
      </c>
      <c r="AB74" s="75">
        <v>8.17</v>
      </c>
      <c r="AC74" s="75">
        <v>8.23</v>
      </c>
      <c r="AD74" s="75">
        <v>-2.8119999999999998</v>
      </c>
      <c r="AE74" s="75">
        <v>-1.0609999999999999</v>
      </c>
      <c r="AF74" s="105">
        <v>-1.2669999999999999</v>
      </c>
    </row>
    <row r="75" spans="2:32" x14ac:dyDescent="0.3">
      <c r="B75" s="111">
        <v>11.666666666666659</v>
      </c>
      <c r="C75" s="104">
        <v>10.15</v>
      </c>
      <c r="D75" s="75">
        <v>10.16</v>
      </c>
      <c r="E75" s="75">
        <v>10.039999999999999</v>
      </c>
      <c r="F75" s="75">
        <v>-5.2359999999999998</v>
      </c>
      <c r="G75" s="75">
        <v>-4.9509999999999996</v>
      </c>
      <c r="H75" s="105">
        <v>-4.5739999999999998</v>
      </c>
      <c r="I75" s="104">
        <v>10.73</v>
      </c>
      <c r="J75" s="75">
        <v>10.74</v>
      </c>
      <c r="K75" s="75">
        <v>10.69</v>
      </c>
      <c r="L75" s="75">
        <v>-17.29</v>
      </c>
      <c r="M75" s="75">
        <v>-17.533000000000001</v>
      </c>
      <c r="N75" s="105">
        <v>-18.2</v>
      </c>
      <c r="O75" s="104">
        <v>25.85</v>
      </c>
      <c r="P75" s="75">
        <v>25.712</v>
      </c>
      <c r="Q75" s="75">
        <v>25.818000000000001</v>
      </c>
      <c r="R75" s="75">
        <v>-4.4050000000000002</v>
      </c>
      <c r="S75" s="75">
        <v>-3.35</v>
      </c>
      <c r="T75" s="105">
        <v>-3.07</v>
      </c>
      <c r="U75" s="104">
        <v>25.95</v>
      </c>
      <c r="V75" s="75">
        <v>25.73</v>
      </c>
      <c r="W75" s="75">
        <v>25.69</v>
      </c>
      <c r="X75" s="75">
        <v>-4.6040000000000001</v>
      </c>
      <c r="Y75" s="75">
        <v>-3.5459999999999998</v>
      </c>
      <c r="Z75" s="105">
        <v>-4.3140000000000001</v>
      </c>
      <c r="AA75" s="104">
        <v>8.0399999999999991</v>
      </c>
      <c r="AB75" s="75">
        <v>8.06</v>
      </c>
      <c r="AC75" s="75">
        <v>8.1</v>
      </c>
      <c r="AD75" s="75">
        <v>-8.08</v>
      </c>
      <c r="AE75" s="75">
        <v>-4.7919999999999998</v>
      </c>
      <c r="AF75" s="105">
        <v>-4.5439999999999996</v>
      </c>
    </row>
    <row r="76" spans="2:32" x14ac:dyDescent="0.3">
      <c r="B76" s="111">
        <v>11.833333333333325</v>
      </c>
      <c r="C76" s="104">
        <v>9.99</v>
      </c>
      <c r="D76" s="75">
        <v>10</v>
      </c>
      <c r="E76" s="75">
        <v>9.9</v>
      </c>
      <c r="F76" s="75">
        <v>-4.883</v>
      </c>
      <c r="G76" s="75">
        <v>-4.798</v>
      </c>
      <c r="H76" s="105">
        <v>-4.6959999999999997</v>
      </c>
      <c r="I76" s="104">
        <v>10.64</v>
      </c>
      <c r="J76" s="75">
        <v>10.65</v>
      </c>
      <c r="K76" s="75">
        <v>10.6</v>
      </c>
      <c r="L76" s="75">
        <v>-19.27</v>
      </c>
      <c r="M76" s="75">
        <v>-18.436</v>
      </c>
      <c r="N76" s="105">
        <v>-19.38</v>
      </c>
      <c r="O76" s="104">
        <v>25.68</v>
      </c>
      <c r="P76" s="75">
        <v>25.562000000000001</v>
      </c>
      <c r="Q76" s="75">
        <v>25.670999999999999</v>
      </c>
      <c r="R76" s="75">
        <v>-4.101</v>
      </c>
      <c r="S76" s="75">
        <v>-3.31</v>
      </c>
      <c r="T76" s="105">
        <v>-3.04</v>
      </c>
      <c r="U76" s="104">
        <v>25.78</v>
      </c>
      <c r="V76" s="75">
        <v>25.58</v>
      </c>
      <c r="W76" s="75">
        <v>25.547000000000001</v>
      </c>
      <c r="X76" s="75">
        <v>-4.3360000000000003</v>
      </c>
      <c r="Y76" s="75">
        <v>-3.4159999999999999</v>
      </c>
      <c r="Z76" s="105">
        <v>-3.9460000000000002</v>
      </c>
      <c r="AA76" s="104">
        <v>8.1</v>
      </c>
      <c r="AB76" s="75">
        <v>8.06</v>
      </c>
      <c r="AC76" s="75">
        <v>8.07</v>
      </c>
      <c r="AD76" s="75">
        <v>-10.99</v>
      </c>
      <c r="AE76" s="75">
        <v>-8.98</v>
      </c>
      <c r="AF76" s="105">
        <v>-6.492</v>
      </c>
    </row>
    <row r="77" spans="2:32" x14ac:dyDescent="0.3">
      <c r="B77" s="111">
        <v>11.999999999999991</v>
      </c>
      <c r="C77" s="104">
        <v>9.84</v>
      </c>
      <c r="D77" s="75">
        <v>9.86</v>
      </c>
      <c r="E77" s="75">
        <v>9.75</v>
      </c>
      <c r="F77" s="75">
        <v>-4.6740000000000004</v>
      </c>
      <c r="G77" s="75">
        <v>-4.6340000000000003</v>
      </c>
      <c r="H77" s="105">
        <v>-4.8010000000000002</v>
      </c>
      <c r="I77" s="104">
        <v>10.56</v>
      </c>
      <c r="J77" s="75">
        <v>10.57</v>
      </c>
      <c r="K77" s="75">
        <v>10.52</v>
      </c>
      <c r="L77" s="75">
        <v>-20.54</v>
      </c>
      <c r="M77" s="75">
        <v>-19.82</v>
      </c>
      <c r="N77" s="105">
        <v>-20.82</v>
      </c>
      <c r="O77" s="104">
        <v>25.51</v>
      </c>
      <c r="P77" s="75">
        <v>25.411999999999999</v>
      </c>
      <c r="Q77" s="75">
        <v>25.524999999999999</v>
      </c>
      <c r="R77" s="75">
        <v>-3.5720000000000001</v>
      </c>
      <c r="S77" s="75">
        <v>-3.07</v>
      </c>
      <c r="T77" s="105">
        <v>-2.86</v>
      </c>
      <c r="U77" s="104">
        <v>25.61</v>
      </c>
      <c r="V77" s="75">
        <v>25.46</v>
      </c>
      <c r="W77" s="75">
        <v>25.402999999999999</v>
      </c>
      <c r="X77" s="75">
        <v>-4.5229999999999997</v>
      </c>
      <c r="Y77" s="75">
        <v>-3.762</v>
      </c>
      <c r="Z77" s="105">
        <v>-3.8740000000000001</v>
      </c>
      <c r="AA77" s="104">
        <v>8.06</v>
      </c>
      <c r="AB77" s="75">
        <v>8.08</v>
      </c>
      <c r="AC77" s="75">
        <v>8.09</v>
      </c>
      <c r="AD77" s="75">
        <v>-12.29</v>
      </c>
      <c r="AE77" s="75">
        <v>-10.7</v>
      </c>
      <c r="AF77" s="105">
        <v>-8.91</v>
      </c>
    </row>
    <row r="78" spans="2:32" x14ac:dyDescent="0.3">
      <c r="B78" s="111">
        <v>12.166666666666657</v>
      </c>
      <c r="C78" s="104">
        <v>9.6999999999999993</v>
      </c>
      <c r="D78" s="75">
        <v>9.7200000000000006</v>
      </c>
      <c r="E78" s="75">
        <v>9.6</v>
      </c>
      <c r="F78" s="75">
        <v>-4.5830000000000002</v>
      </c>
      <c r="G78" s="75">
        <v>-4.7350000000000003</v>
      </c>
      <c r="H78" s="105">
        <v>-4.944</v>
      </c>
      <c r="I78" s="104">
        <v>10.47</v>
      </c>
      <c r="J78" s="75">
        <v>10.48</v>
      </c>
      <c r="K78" s="75">
        <v>10.42</v>
      </c>
      <c r="L78" s="75">
        <v>-21.722000000000001</v>
      </c>
      <c r="M78" s="75">
        <v>-21.122</v>
      </c>
      <c r="N78" s="105">
        <v>-21.76</v>
      </c>
      <c r="O78" s="104">
        <v>25.34</v>
      </c>
      <c r="P78" s="75">
        <v>25.263000000000002</v>
      </c>
      <c r="Q78" s="75">
        <v>25.376999999999999</v>
      </c>
      <c r="R78" s="75">
        <v>-3.2440000000000002</v>
      </c>
      <c r="S78" s="75">
        <v>-3.1840000000000002</v>
      </c>
      <c r="T78" s="105">
        <v>-2.98</v>
      </c>
      <c r="U78" s="104">
        <v>25.43</v>
      </c>
      <c r="V78" s="75">
        <v>25.28</v>
      </c>
      <c r="W78" s="75">
        <v>25.26</v>
      </c>
      <c r="X78" s="75">
        <v>-4.5019999999999998</v>
      </c>
      <c r="Y78" s="75">
        <v>-3.5329999999999999</v>
      </c>
      <c r="Z78" s="105">
        <v>-4.2560000000000002</v>
      </c>
      <c r="AA78" s="104">
        <v>7.99</v>
      </c>
      <c r="AB78" s="75">
        <v>8.02</v>
      </c>
      <c r="AC78" s="75">
        <v>8.06</v>
      </c>
      <c r="AD78" s="75">
        <v>-14.54</v>
      </c>
      <c r="AE78" s="75">
        <v>-12.55</v>
      </c>
      <c r="AF78" s="105">
        <v>-10.74</v>
      </c>
    </row>
    <row r="79" spans="2:32" x14ac:dyDescent="0.3">
      <c r="B79" s="111">
        <v>12.333333333333323</v>
      </c>
      <c r="C79" s="104">
        <v>9.56</v>
      </c>
      <c r="D79" s="75">
        <v>9.57</v>
      </c>
      <c r="E79" s="75">
        <v>9.4600000000000009</v>
      </c>
      <c r="F79" s="75">
        <v>-4.532</v>
      </c>
      <c r="G79" s="75">
        <v>-4.88</v>
      </c>
      <c r="H79" s="105">
        <v>-4.7469999999999999</v>
      </c>
      <c r="I79" s="104">
        <v>10.38</v>
      </c>
      <c r="J79" s="75">
        <v>10.38</v>
      </c>
      <c r="K79" s="75">
        <v>10.32</v>
      </c>
      <c r="L79" s="75">
        <v>-23.286999999999999</v>
      </c>
      <c r="M79" s="75">
        <v>-22.120999999999999</v>
      </c>
      <c r="N79" s="105">
        <v>-23.06</v>
      </c>
      <c r="O79" s="104">
        <v>25.19</v>
      </c>
      <c r="P79" s="75">
        <v>25.114000000000001</v>
      </c>
      <c r="Q79" s="75">
        <v>25.23</v>
      </c>
      <c r="R79" s="75">
        <v>-3.1179999999999999</v>
      </c>
      <c r="S79" s="75">
        <v>-3.1150000000000002</v>
      </c>
      <c r="T79" s="105">
        <v>-2.95</v>
      </c>
      <c r="U79" s="104">
        <v>25.27</v>
      </c>
      <c r="V79" s="75">
        <v>25.12</v>
      </c>
      <c r="W79" s="75">
        <v>25.116</v>
      </c>
      <c r="X79" s="75">
        <v>-4.2590000000000003</v>
      </c>
      <c r="Y79" s="75">
        <v>-3.4940000000000002</v>
      </c>
      <c r="Z79" s="105">
        <v>-4.0579999999999998</v>
      </c>
      <c r="AA79" s="104">
        <v>7.92</v>
      </c>
      <c r="AB79" s="75">
        <v>7.96</v>
      </c>
      <c r="AC79" s="75">
        <v>8</v>
      </c>
      <c r="AD79" s="75">
        <v>-16.13</v>
      </c>
      <c r="AE79" s="75">
        <v>-13.52</v>
      </c>
      <c r="AF79" s="105">
        <v>-12.57</v>
      </c>
    </row>
    <row r="80" spans="2:32" x14ac:dyDescent="0.3">
      <c r="B80" s="111">
        <v>12.499999999999989</v>
      </c>
      <c r="C80" s="104">
        <v>9.41</v>
      </c>
      <c r="D80" s="75">
        <v>9.43</v>
      </c>
      <c r="E80" s="75">
        <v>9.31</v>
      </c>
      <c r="F80" s="75">
        <v>-4.6890000000000001</v>
      </c>
      <c r="G80" s="75">
        <v>-5.0039999999999996</v>
      </c>
      <c r="H80" s="105">
        <v>-4.9340000000000002</v>
      </c>
      <c r="I80" s="104">
        <v>10.28</v>
      </c>
      <c r="J80" s="75">
        <v>10.29</v>
      </c>
      <c r="K80" s="75">
        <v>10.210000000000001</v>
      </c>
      <c r="L80" s="75">
        <v>-23.434999999999999</v>
      </c>
      <c r="M80" s="75">
        <v>-23.408999999999999</v>
      </c>
      <c r="N80" s="105">
        <v>-23.85</v>
      </c>
      <c r="O80" s="104">
        <v>25.05</v>
      </c>
      <c r="P80" s="75">
        <v>24.963999999999999</v>
      </c>
      <c r="Q80" s="75">
        <v>25.076000000000001</v>
      </c>
      <c r="R80" s="75">
        <v>-2.911</v>
      </c>
      <c r="S80" s="75">
        <v>-2.9489999999999998</v>
      </c>
      <c r="T80" s="105">
        <v>-3.01</v>
      </c>
      <c r="U80" s="104">
        <v>25.13</v>
      </c>
      <c r="V80" s="75">
        <v>24.98</v>
      </c>
      <c r="W80" s="75">
        <v>24.972000000000001</v>
      </c>
      <c r="X80" s="75">
        <v>-4.0819999999999999</v>
      </c>
      <c r="Y80" s="75">
        <v>-3.375</v>
      </c>
      <c r="Z80" s="105">
        <v>-3.919</v>
      </c>
      <c r="AA80" s="104">
        <v>7.86</v>
      </c>
      <c r="AB80" s="75">
        <v>7.89</v>
      </c>
      <c r="AC80" s="75">
        <v>7.94</v>
      </c>
      <c r="AD80" s="75">
        <v>-17.63</v>
      </c>
      <c r="AE80" s="75">
        <v>-14.86</v>
      </c>
      <c r="AF80" s="105">
        <v>-13.32</v>
      </c>
    </row>
    <row r="81" spans="2:32" x14ac:dyDescent="0.3">
      <c r="B81" s="111">
        <v>12.666666666666655</v>
      </c>
      <c r="C81" s="104">
        <v>9.27</v>
      </c>
      <c r="D81" s="75">
        <v>9.35</v>
      </c>
      <c r="E81" s="75">
        <v>9.15</v>
      </c>
      <c r="F81" s="75">
        <v>-4.4800000000000004</v>
      </c>
      <c r="G81" s="75">
        <v>-5.7640000000000002</v>
      </c>
      <c r="H81" s="105">
        <v>-5.15</v>
      </c>
      <c r="I81" s="104">
        <v>10.18</v>
      </c>
      <c r="J81" s="75">
        <v>10.23</v>
      </c>
      <c r="K81" s="75">
        <v>10.09</v>
      </c>
      <c r="L81" s="75">
        <v>-24.167000000000002</v>
      </c>
      <c r="M81" s="75">
        <v>-23.79</v>
      </c>
      <c r="N81" s="105">
        <v>-24.82</v>
      </c>
      <c r="O81" s="104">
        <v>24.89</v>
      </c>
      <c r="P81" s="75">
        <v>24.815000000000001</v>
      </c>
      <c r="Q81" s="75">
        <v>24.936</v>
      </c>
      <c r="R81" s="75">
        <v>-2.919</v>
      </c>
      <c r="S81" s="75">
        <v>-3.4820000000000002</v>
      </c>
      <c r="T81" s="105">
        <v>-2.92</v>
      </c>
      <c r="U81" s="104">
        <v>24.97</v>
      </c>
      <c r="V81" s="75">
        <v>24.82</v>
      </c>
      <c r="W81" s="75">
        <v>24.829000000000001</v>
      </c>
      <c r="X81" s="75">
        <v>-4.1029999999999998</v>
      </c>
      <c r="Y81" s="75">
        <v>-3.7120000000000002</v>
      </c>
      <c r="Z81" s="105">
        <v>-4.1239999999999997</v>
      </c>
      <c r="AA81" s="104">
        <v>7.78</v>
      </c>
      <c r="AB81" s="75">
        <v>7.82</v>
      </c>
      <c r="AC81" s="75">
        <v>7.85</v>
      </c>
      <c r="AD81" s="75">
        <v>-19.27</v>
      </c>
      <c r="AE81" s="75">
        <v>-16.32</v>
      </c>
      <c r="AF81" s="105">
        <v>-15.52</v>
      </c>
    </row>
    <row r="82" spans="2:32" x14ac:dyDescent="0.3">
      <c r="B82" s="111">
        <v>12.833333333333321</v>
      </c>
      <c r="C82" s="104">
        <v>9.11</v>
      </c>
      <c r="D82" s="75">
        <v>9.24</v>
      </c>
      <c r="E82" s="75">
        <v>9</v>
      </c>
      <c r="F82" s="75">
        <v>-5.274</v>
      </c>
      <c r="G82" s="75">
        <v>-5.25</v>
      </c>
      <c r="H82" s="105">
        <v>-5.1029999999999998</v>
      </c>
      <c r="I82" s="104">
        <v>10.039999999999999</v>
      </c>
      <c r="J82" s="75">
        <v>10.130000000000001</v>
      </c>
      <c r="K82" s="75">
        <v>9.9700000000000006</v>
      </c>
      <c r="L82" s="75">
        <v>-25.364000000000001</v>
      </c>
      <c r="M82" s="75">
        <v>-24.791</v>
      </c>
      <c r="N82" s="105">
        <v>-25.94</v>
      </c>
      <c r="O82" s="104">
        <v>24.73</v>
      </c>
      <c r="P82" s="75">
        <v>24.666</v>
      </c>
      <c r="Q82" s="75">
        <v>24.789000000000001</v>
      </c>
      <c r="R82" s="75">
        <v>-2.9380000000000002</v>
      </c>
      <c r="S82" s="75">
        <v>-3.1739999999999999</v>
      </c>
      <c r="T82" s="105">
        <v>-3.1509999999999998</v>
      </c>
      <c r="U82" s="104">
        <v>24.82</v>
      </c>
      <c r="V82" s="75">
        <v>24.67</v>
      </c>
      <c r="W82" s="75">
        <v>24.681999999999999</v>
      </c>
      <c r="X82" s="75">
        <v>-4.2160000000000002</v>
      </c>
      <c r="Y82" s="75">
        <v>-3.512</v>
      </c>
      <c r="Z82" s="105">
        <v>-3.7810000000000001</v>
      </c>
      <c r="AA82" s="104">
        <v>7.71</v>
      </c>
      <c r="AB82" s="75">
        <v>7.73</v>
      </c>
      <c r="AC82" s="75">
        <v>7.78</v>
      </c>
      <c r="AD82" s="75">
        <v>-20.399999999999999</v>
      </c>
      <c r="AE82" s="75">
        <v>-17.690000000000001</v>
      </c>
      <c r="AF82" s="105">
        <v>-16.48</v>
      </c>
    </row>
    <row r="83" spans="2:32" x14ac:dyDescent="0.3">
      <c r="B83" s="111">
        <v>12.999999999999988</v>
      </c>
      <c r="C83" s="104">
        <v>8.9499999999999993</v>
      </c>
      <c r="D83" s="75">
        <v>9.06</v>
      </c>
      <c r="E83" s="75">
        <v>8.85</v>
      </c>
      <c r="F83" s="75">
        <v>-4.8959999999999999</v>
      </c>
      <c r="G83" s="75">
        <v>-5.3730000000000002</v>
      </c>
      <c r="H83" s="105">
        <v>-4.9130000000000003</v>
      </c>
      <c r="I83" s="104">
        <v>9.92</v>
      </c>
      <c r="J83" s="75">
        <v>9.98</v>
      </c>
      <c r="K83" s="75">
        <v>9.84</v>
      </c>
      <c r="L83" s="75">
        <v>-25.748999999999999</v>
      </c>
      <c r="M83" s="75">
        <v>-25.533000000000001</v>
      </c>
      <c r="N83" s="105">
        <v>-26.62</v>
      </c>
      <c r="O83" s="104">
        <v>24.57</v>
      </c>
      <c r="P83" s="75">
        <v>24.523</v>
      </c>
      <c r="Q83" s="75">
        <v>24.638000000000002</v>
      </c>
      <c r="R83" s="75">
        <v>-2.9420000000000002</v>
      </c>
      <c r="S83" s="75">
        <v>-2.8780000000000001</v>
      </c>
      <c r="T83" s="105">
        <v>-3.1459999999999999</v>
      </c>
      <c r="U83" s="104">
        <v>24.66</v>
      </c>
      <c r="V83" s="75">
        <v>24.52</v>
      </c>
      <c r="W83" s="75">
        <v>24.542000000000002</v>
      </c>
      <c r="X83" s="75">
        <v>-4.1749999999999998</v>
      </c>
      <c r="Y83" s="75">
        <v>-3.5179999999999998</v>
      </c>
      <c r="Z83" s="105">
        <v>-4.056</v>
      </c>
      <c r="AA83" s="104">
        <v>7.61</v>
      </c>
      <c r="AB83" s="75">
        <v>7.62</v>
      </c>
      <c r="AC83" s="75">
        <v>7.7</v>
      </c>
      <c r="AD83" s="75">
        <v>-22.5</v>
      </c>
      <c r="AE83" s="75">
        <v>-20.62</v>
      </c>
      <c r="AF83" s="105">
        <v>-17.809999999999999</v>
      </c>
    </row>
    <row r="84" spans="2:32" x14ac:dyDescent="0.3">
      <c r="B84" s="111">
        <v>13.166666666666654</v>
      </c>
      <c r="C84" s="104">
        <v>8.8000000000000007</v>
      </c>
      <c r="D84" s="75">
        <v>8.8800000000000008</v>
      </c>
      <c r="E84" s="75">
        <v>8.7100000000000009</v>
      </c>
      <c r="F84" s="75">
        <v>-4.923</v>
      </c>
      <c r="G84" s="75">
        <v>-5.4610000000000003</v>
      </c>
      <c r="H84" s="105">
        <v>-4.758</v>
      </c>
      <c r="I84" s="104">
        <v>9.7899999999999991</v>
      </c>
      <c r="J84" s="75">
        <v>9.83</v>
      </c>
      <c r="K84" s="75">
        <v>9.7100000000000009</v>
      </c>
      <c r="L84" s="75">
        <v>-26.375</v>
      </c>
      <c r="M84" s="75">
        <v>-25.977</v>
      </c>
      <c r="N84" s="105">
        <v>-26.63</v>
      </c>
      <c r="O84" s="104">
        <v>24.4</v>
      </c>
      <c r="P84" s="75">
        <v>24.367000000000001</v>
      </c>
      <c r="Q84" s="75">
        <v>24.495000000000001</v>
      </c>
      <c r="R84" s="75">
        <v>-3.0459999999999998</v>
      </c>
      <c r="S84" s="75">
        <v>-2.9540000000000002</v>
      </c>
      <c r="T84" s="105">
        <v>-3.0579999999999998</v>
      </c>
      <c r="U84" s="104">
        <v>24.5</v>
      </c>
      <c r="V84" s="75">
        <v>24.39</v>
      </c>
      <c r="W84" s="75">
        <v>24.398</v>
      </c>
      <c r="X84" s="75">
        <v>-4.0730000000000004</v>
      </c>
      <c r="Y84" s="75">
        <v>-3.347</v>
      </c>
      <c r="Z84" s="105">
        <v>-4.0599999999999996</v>
      </c>
      <c r="AA84" s="104">
        <v>7.53</v>
      </c>
      <c r="AB84" s="75">
        <v>7.56</v>
      </c>
      <c r="AC84" s="75">
        <v>7.61</v>
      </c>
      <c r="AD84" s="75">
        <v>-24.17</v>
      </c>
      <c r="AE84" s="75">
        <v>-20.63</v>
      </c>
      <c r="AF84" s="105">
        <v>-19.66</v>
      </c>
    </row>
    <row r="85" spans="2:32" x14ac:dyDescent="0.3">
      <c r="B85" s="111">
        <v>13.33333333333332</v>
      </c>
      <c r="C85" s="104">
        <v>8.66</v>
      </c>
      <c r="D85" s="75">
        <v>8.7100000000000009</v>
      </c>
      <c r="E85" s="75">
        <v>8.56</v>
      </c>
      <c r="F85" s="75">
        <v>-4.6779999999999999</v>
      </c>
      <c r="G85" s="75">
        <v>-5.2640000000000002</v>
      </c>
      <c r="H85" s="105">
        <v>-4.8339999999999996</v>
      </c>
      <c r="I85" s="104">
        <v>9.66</v>
      </c>
      <c r="J85" s="75">
        <v>9.69</v>
      </c>
      <c r="K85" s="75">
        <v>9.56</v>
      </c>
      <c r="L85" s="75">
        <v>-26.847999999999999</v>
      </c>
      <c r="M85" s="75">
        <v>-26.509</v>
      </c>
      <c r="N85" s="105">
        <v>-26.364999999999998</v>
      </c>
      <c r="O85" s="104">
        <v>24.26</v>
      </c>
      <c r="P85" s="75">
        <v>24.218</v>
      </c>
      <c r="Q85" s="75">
        <v>24.347999999999999</v>
      </c>
      <c r="R85" s="75">
        <v>-2.581</v>
      </c>
      <c r="S85" s="75">
        <v>-2.875</v>
      </c>
      <c r="T85" s="105">
        <v>-3.0129999999999999</v>
      </c>
      <c r="U85" s="104">
        <v>24.36</v>
      </c>
      <c r="V85" s="75">
        <v>24.27</v>
      </c>
      <c r="W85" s="75">
        <v>24.25</v>
      </c>
      <c r="X85" s="75">
        <v>-4.2949999999999999</v>
      </c>
      <c r="Y85" s="75">
        <v>-3.153</v>
      </c>
      <c r="Z85" s="105">
        <v>-3.9889999999999999</v>
      </c>
      <c r="AA85" s="104">
        <v>7.42</v>
      </c>
      <c r="AB85" s="75">
        <v>7.46</v>
      </c>
      <c r="AC85" s="75">
        <v>7.55</v>
      </c>
      <c r="AD85" s="75">
        <v>-25.52</v>
      </c>
      <c r="AE85" s="75">
        <v>-22.67</v>
      </c>
      <c r="AF85" s="105">
        <v>-20.14</v>
      </c>
    </row>
    <row r="86" spans="2:32" x14ac:dyDescent="0.3">
      <c r="B86" s="111">
        <v>13.499999999999986</v>
      </c>
      <c r="C86" s="104">
        <v>8.51</v>
      </c>
      <c r="D86" s="75">
        <v>8.5500000000000007</v>
      </c>
      <c r="E86" s="75">
        <v>8.42</v>
      </c>
      <c r="F86" s="75">
        <v>-4.7839999999999998</v>
      </c>
      <c r="G86" s="75">
        <v>-5.1459999999999999</v>
      </c>
      <c r="H86" s="105">
        <v>-4.6390000000000002</v>
      </c>
      <c r="I86" s="104">
        <v>9.5</v>
      </c>
      <c r="J86" s="75">
        <v>9.5299999999999994</v>
      </c>
      <c r="K86" s="75">
        <v>9.4</v>
      </c>
      <c r="L86" s="75">
        <v>-27.052</v>
      </c>
      <c r="M86" s="75">
        <v>-25.937999999999999</v>
      </c>
      <c r="N86" s="105">
        <v>-26.1</v>
      </c>
      <c r="O86" s="104">
        <v>24.11</v>
      </c>
      <c r="P86" s="75">
        <v>24.071000000000002</v>
      </c>
      <c r="Q86" s="75">
        <v>24.2</v>
      </c>
      <c r="R86" s="75">
        <v>-2.6909999999999998</v>
      </c>
      <c r="S86" s="75">
        <v>-3.2789999999999999</v>
      </c>
      <c r="T86" s="105">
        <v>-3.1640000000000001</v>
      </c>
      <c r="U86" s="104">
        <v>24.21</v>
      </c>
      <c r="V86" s="75">
        <v>24.14</v>
      </c>
      <c r="W86" s="75">
        <v>24.111000000000001</v>
      </c>
      <c r="X86" s="75">
        <v>-3.9129999999999998</v>
      </c>
      <c r="Y86" s="75">
        <v>-3.5270000000000001</v>
      </c>
      <c r="Z86" s="105">
        <v>-4.399</v>
      </c>
      <c r="AA86" s="104">
        <v>7.34</v>
      </c>
      <c r="AB86" s="75">
        <v>7.38</v>
      </c>
      <c r="AC86" s="75">
        <v>7.45</v>
      </c>
      <c r="AD86" s="75">
        <v>-25.901</v>
      </c>
      <c r="AE86" s="75">
        <v>-23.51</v>
      </c>
      <c r="AF86" s="105">
        <v>-21.62</v>
      </c>
    </row>
    <row r="87" spans="2:32" x14ac:dyDescent="0.3">
      <c r="B87" s="111">
        <v>13.666666666666652</v>
      </c>
      <c r="C87" s="104">
        <v>8.3699999999999992</v>
      </c>
      <c r="D87" s="75">
        <v>8.4</v>
      </c>
      <c r="E87" s="75">
        <v>8.3000000000000007</v>
      </c>
      <c r="F87" s="75">
        <v>-4.82</v>
      </c>
      <c r="G87" s="75">
        <v>-4.82</v>
      </c>
      <c r="H87" s="105">
        <v>-6.4459999999999997</v>
      </c>
      <c r="I87" s="104">
        <v>9.33</v>
      </c>
      <c r="J87" s="75">
        <v>9.36</v>
      </c>
      <c r="K87" s="75">
        <v>9.2200000000000006</v>
      </c>
      <c r="L87" s="75">
        <v>-26.914000000000001</v>
      </c>
      <c r="M87" s="75">
        <v>-26.184999999999999</v>
      </c>
      <c r="N87" s="105">
        <v>-25.21</v>
      </c>
      <c r="O87" s="104">
        <v>23.98</v>
      </c>
      <c r="P87" s="75">
        <v>23.919</v>
      </c>
      <c r="Q87" s="75">
        <v>24.053999999999998</v>
      </c>
      <c r="R87" s="75">
        <v>-2.8639999999999999</v>
      </c>
      <c r="S87" s="75">
        <v>-3.1139999999999999</v>
      </c>
      <c r="T87" s="105">
        <v>-3.0169999999999999</v>
      </c>
      <c r="U87" s="104">
        <v>24.08</v>
      </c>
      <c r="V87" s="75">
        <v>24.01</v>
      </c>
      <c r="W87" s="75">
        <v>23.966999999999999</v>
      </c>
      <c r="X87" s="75">
        <v>-4.1970000000000001</v>
      </c>
      <c r="Y87" s="75">
        <v>-3.23</v>
      </c>
      <c r="Z87" s="105">
        <v>-3.887</v>
      </c>
      <c r="AA87" s="104">
        <v>7.25</v>
      </c>
      <c r="AB87" s="75">
        <v>7.3</v>
      </c>
      <c r="AC87" s="75">
        <v>7.39</v>
      </c>
      <c r="AD87" s="75">
        <v>-27.27</v>
      </c>
      <c r="AE87" s="75">
        <v>-24.23</v>
      </c>
      <c r="AF87" s="105">
        <v>-22.34</v>
      </c>
    </row>
    <row r="88" spans="2:32" x14ac:dyDescent="0.3">
      <c r="B88" s="111">
        <v>13.833333333333318</v>
      </c>
      <c r="C88" s="104">
        <v>8.23</v>
      </c>
      <c r="D88" s="75">
        <v>8.27</v>
      </c>
      <c r="E88" s="75">
        <v>8.24</v>
      </c>
      <c r="F88" s="75">
        <v>-5.7789999999999999</v>
      </c>
      <c r="G88" s="75">
        <v>-6.508</v>
      </c>
      <c r="H88" s="105">
        <v>-9.02</v>
      </c>
      <c r="I88" s="104">
        <v>9.15</v>
      </c>
      <c r="J88" s="75">
        <v>9.18</v>
      </c>
      <c r="K88" s="75">
        <v>9.02</v>
      </c>
      <c r="L88" s="75">
        <v>-25.864999999999998</v>
      </c>
      <c r="M88" s="75">
        <v>-25.454000000000001</v>
      </c>
      <c r="N88" s="105">
        <v>-24.71</v>
      </c>
      <c r="O88" s="104">
        <v>23.84</v>
      </c>
      <c r="P88" s="75">
        <v>23.768999999999998</v>
      </c>
      <c r="Q88" s="75">
        <v>23.907</v>
      </c>
      <c r="R88" s="75">
        <v>-2.79</v>
      </c>
      <c r="S88" s="75">
        <v>-3.4550000000000001</v>
      </c>
      <c r="T88" s="105">
        <v>-3.16</v>
      </c>
      <c r="U88" s="104">
        <v>23.94</v>
      </c>
      <c r="V88" s="75">
        <v>23.88</v>
      </c>
      <c r="W88" s="75">
        <v>23.821000000000002</v>
      </c>
      <c r="X88" s="75">
        <v>-3.8570000000000002</v>
      </c>
      <c r="Y88" s="75">
        <v>-3.6139999999999999</v>
      </c>
      <c r="Z88" s="105">
        <v>-4.133</v>
      </c>
      <c r="AA88" s="104">
        <v>7.16</v>
      </c>
      <c r="AB88" s="75">
        <v>7.2</v>
      </c>
      <c r="AC88" s="75">
        <v>7.3</v>
      </c>
      <c r="AD88" s="75">
        <v>-28.64</v>
      </c>
      <c r="AE88" s="75">
        <v>-25.27</v>
      </c>
      <c r="AF88" s="105">
        <v>-23.13</v>
      </c>
    </row>
    <row r="89" spans="2:32" x14ac:dyDescent="0.3">
      <c r="B89" s="111">
        <v>13.999999999999984</v>
      </c>
      <c r="C89" s="104">
        <v>8.18</v>
      </c>
      <c r="D89" s="75">
        <v>8.2100000000000009</v>
      </c>
      <c r="E89" s="75">
        <v>8.19</v>
      </c>
      <c r="F89" s="75">
        <v>-8.8800000000000008</v>
      </c>
      <c r="G89" s="75">
        <v>-9.26</v>
      </c>
      <c r="H89" s="105">
        <v>-10.99</v>
      </c>
      <c r="I89" s="104">
        <v>8.9499999999999993</v>
      </c>
      <c r="J89" s="75">
        <v>8.98</v>
      </c>
      <c r="K89" s="75">
        <v>8.7899999999999991</v>
      </c>
      <c r="L89" s="75">
        <v>-24.876000000000001</v>
      </c>
      <c r="M89" s="75">
        <v>-24.901</v>
      </c>
      <c r="N89" s="105">
        <v>-23.38</v>
      </c>
      <c r="O89" s="104">
        <v>23.71</v>
      </c>
      <c r="P89" s="75">
        <v>23.626000000000001</v>
      </c>
      <c r="Q89" s="75">
        <v>23.76</v>
      </c>
      <c r="R89" s="75">
        <v>-2.8210000000000002</v>
      </c>
      <c r="S89" s="75">
        <v>-3.9159999999999999</v>
      </c>
      <c r="T89" s="105">
        <v>-3.5670000000000002</v>
      </c>
      <c r="U89" s="104">
        <v>23.81</v>
      </c>
      <c r="V89" s="75">
        <v>23.74</v>
      </c>
      <c r="W89" s="75">
        <v>23.68</v>
      </c>
      <c r="X89" s="75">
        <v>-3.581</v>
      </c>
      <c r="Y89" s="75">
        <v>-3.6480000000000001</v>
      </c>
      <c r="Z89" s="105">
        <v>-4.0330000000000004</v>
      </c>
      <c r="AA89" s="104">
        <v>7.06</v>
      </c>
      <c r="AB89" s="75">
        <v>7.11</v>
      </c>
      <c r="AC89" s="75">
        <v>7.2</v>
      </c>
      <c r="AD89" s="75">
        <v>-28.8</v>
      </c>
      <c r="AE89" s="75">
        <v>-25.959</v>
      </c>
      <c r="AF89" s="105">
        <v>-24.64</v>
      </c>
    </row>
    <row r="90" spans="2:32" x14ac:dyDescent="0.3">
      <c r="B90" s="111">
        <v>14.16666666666665</v>
      </c>
      <c r="C90" s="104">
        <v>8.15</v>
      </c>
      <c r="D90" s="75">
        <v>8.19</v>
      </c>
      <c r="E90" s="75">
        <v>8.1300000000000008</v>
      </c>
      <c r="F90" s="75">
        <v>-10.91</v>
      </c>
      <c r="G90" s="75">
        <v>-10.92</v>
      </c>
      <c r="H90" s="105">
        <v>-12.15</v>
      </c>
      <c r="I90" s="104">
        <v>8.7200000000000006</v>
      </c>
      <c r="J90" s="75">
        <v>8.76</v>
      </c>
      <c r="K90" s="75">
        <v>8.56</v>
      </c>
      <c r="L90" s="75">
        <v>-23.686</v>
      </c>
      <c r="M90" s="75">
        <v>-23.39</v>
      </c>
      <c r="N90" s="105">
        <v>-22.27</v>
      </c>
      <c r="O90" s="104">
        <v>23.6</v>
      </c>
      <c r="P90" s="75">
        <v>23.47</v>
      </c>
      <c r="Q90" s="75">
        <v>23.61</v>
      </c>
      <c r="R90" s="75">
        <v>-3.94</v>
      </c>
      <c r="S90" s="75">
        <v>-4.7839999999999998</v>
      </c>
      <c r="T90" s="105">
        <v>-3.9020000000000001</v>
      </c>
      <c r="U90" s="104">
        <v>23.69</v>
      </c>
      <c r="V90" s="75">
        <v>23.59</v>
      </c>
      <c r="W90" s="75">
        <v>23.536000000000001</v>
      </c>
      <c r="X90" s="75">
        <v>-3.71</v>
      </c>
      <c r="Y90" s="75">
        <v>-3.863</v>
      </c>
      <c r="Z90" s="105">
        <v>-4.0540000000000003</v>
      </c>
      <c r="AA90" s="104">
        <v>6.94</v>
      </c>
      <c r="AB90" s="75">
        <v>7</v>
      </c>
      <c r="AC90" s="75">
        <v>7.1</v>
      </c>
      <c r="AD90" s="75">
        <v>-30.72</v>
      </c>
      <c r="AE90" s="75">
        <v>-27.324000000000002</v>
      </c>
      <c r="AF90" s="105">
        <v>-25.39</v>
      </c>
    </row>
    <row r="91" spans="2:32" x14ac:dyDescent="0.3">
      <c r="B91" s="111">
        <v>14.333333333333316</v>
      </c>
      <c r="C91" s="104">
        <v>8.08</v>
      </c>
      <c r="D91" s="75">
        <v>8.1300000000000008</v>
      </c>
      <c r="E91" s="75">
        <v>8.0500000000000007</v>
      </c>
      <c r="F91" s="75">
        <v>-12.29</v>
      </c>
      <c r="G91" s="75">
        <v>-12.07</v>
      </c>
      <c r="H91" s="105">
        <v>-13.13</v>
      </c>
      <c r="I91" s="104">
        <v>8.49</v>
      </c>
      <c r="J91" s="75">
        <v>8.52</v>
      </c>
      <c r="K91" s="75">
        <v>8.32</v>
      </c>
      <c r="L91" s="75">
        <v>-22.37</v>
      </c>
      <c r="M91" s="75">
        <v>-21.81</v>
      </c>
      <c r="N91" s="105">
        <v>-20.190000000000001</v>
      </c>
      <c r="O91" s="104">
        <v>23.5</v>
      </c>
      <c r="P91" s="75">
        <v>23.38</v>
      </c>
      <c r="Q91" s="75">
        <v>23.46</v>
      </c>
      <c r="R91" s="75">
        <v>-5.3170000000000002</v>
      </c>
      <c r="S91" s="75">
        <v>-5.9269999999999996</v>
      </c>
      <c r="T91" s="105">
        <v>-4.1139999999999999</v>
      </c>
      <c r="U91" s="104">
        <v>23.54</v>
      </c>
      <c r="V91" s="75">
        <v>23.44</v>
      </c>
      <c r="W91" s="75">
        <v>23.395</v>
      </c>
      <c r="X91" s="75">
        <v>-3.327</v>
      </c>
      <c r="Y91" s="75">
        <v>-3.484</v>
      </c>
      <c r="Z91" s="105">
        <v>-3.851</v>
      </c>
      <c r="AA91" s="104">
        <v>6.83</v>
      </c>
      <c r="AB91" s="75">
        <v>6.9</v>
      </c>
      <c r="AC91" s="75">
        <v>6.99</v>
      </c>
      <c r="AD91" s="75">
        <v>-31.18</v>
      </c>
      <c r="AE91" s="75">
        <v>-27.95</v>
      </c>
      <c r="AF91" s="105">
        <v>-26.501000000000001</v>
      </c>
    </row>
    <row r="92" spans="2:32" x14ac:dyDescent="0.3">
      <c r="B92" s="111">
        <v>14.499999999999982</v>
      </c>
      <c r="C92" s="104">
        <v>8</v>
      </c>
      <c r="D92" s="75">
        <v>8.0500000000000007</v>
      </c>
      <c r="E92" s="75">
        <v>7.96</v>
      </c>
      <c r="F92" s="75">
        <v>-13.37</v>
      </c>
      <c r="G92" s="75">
        <v>-12.93</v>
      </c>
      <c r="H92" s="105">
        <v>-14.32</v>
      </c>
      <c r="I92" s="104">
        <v>8.24</v>
      </c>
      <c r="J92" s="75">
        <v>8.2899999999999991</v>
      </c>
      <c r="K92" s="75">
        <v>8.08</v>
      </c>
      <c r="L92" s="75">
        <v>-20.619</v>
      </c>
      <c r="M92" s="75">
        <v>-19.96</v>
      </c>
      <c r="N92" s="105">
        <v>-18.12</v>
      </c>
      <c r="O92" s="104">
        <v>23.43</v>
      </c>
      <c r="P92" s="75">
        <v>23.31</v>
      </c>
      <c r="Q92" s="75">
        <v>23.36</v>
      </c>
      <c r="R92" s="75">
        <v>-6.8940000000000001</v>
      </c>
      <c r="S92" s="75">
        <v>-7.0670000000000002</v>
      </c>
      <c r="T92" s="105">
        <v>-5</v>
      </c>
      <c r="U92" s="104">
        <v>23.4</v>
      </c>
      <c r="V92" s="75">
        <v>23.3</v>
      </c>
      <c r="W92" s="75">
        <v>23.248999999999999</v>
      </c>
      <c r="X92" s="75">
        <v>-3.927</v>
      </c>
      <c r="Y92" s="75">
        <v>-3.6349999999999998</v>
      </c>
      <c r="Z92" s="105">
        <v>-3.8719999999999999</v>
      </c>
      <c r="AA92" s="104">
        <v>6.7</v>
      </c>
      <c r="AB92" s="75">
        <v>6.77</v>
      </c>
      <c r="AC92" s="75">
        <v>6.87</v>
      </c>
      <c r="AD92" s="75">
        <v>-32.200000000000003</v>
      </c>
      <c r="AE92" s="75">
        <v>-29.42</v>
      </c>
      <c r="AF92" s="105">
        <v>-27.465</v>
      </c>
    </row>
    <row r="93" spans="2:32" x14ac:dyDescent="0.3">
      <c r="B93" s="111">
        <v>14.666666666666648</v>
      </c>
      <c r="C93" s="104">
        <v>7.9</v>
      </c>
      <c r="D93" s="75">
        <v>7.97</v>
      </c>
      <c r="E93" s="75">
        <v>7.87</v>
      </c>
      <c r="F93" s="75">
        <v>-14.48</v>
      </c>
      <c r="G93" s="75">
        <v>-14.02</v>
      </c>
      <c r="H93" s="105">
        <v>-15.26</v>
      </c>
      <c r="I93" s="104">
        <v>8</v>
      </c>
      <c r="J93" s="75">
        <v>8.06</v>
      </c>
      <c r="K93" s="75">
        <v>7.82</v>
      </c>
      <c r="L93" s="75">
        <v>-18.343</v>
      </c>
      <c r="M93" s="75">
        <v>-17.46</v>
      </c>
      <c r="N93" s="105">
        <v>-16.09</v>
      </c>
      <c r="O93" s="104">
        <v>23.39</v>
      </c>
      <c r="P93" s="75">
        <v>23.28</v>
      </c>
      <c r="Q93" s="75">
        <v>23.28</v>
      </c>
      <c r="R93" s="75">
        <v>-9.84</v>
      </c>
      <c r="S93" s="75">
        <v>-8.89</v>
      </c>
      <c r="T93" s="105">
        <v>-6.3</v>
      </c>
      <c r="U93" s="104">
        <v>23.27</v>
      </c>
      <c r="V93" s="75">
        <v>23.17</v>
      </c>
      <c r="W93" s="75">
        <v>23.105</v>
      </c>
      <c r="X93" s="75">
        <v>-3.7770000000000001</v>
      </c>
      <c r="Y93" s="75">
        <v>-3.8210000000000002</v>
      </c>
      <c r="Z93" s="105">
        <v>-4.0650000000000004</v>
      </c>
      <c r="AA93" s="104">
        <v>6.59</v>
      </c>
      <c r="AB93" s="75">
        <v>6.67</v>
      </c>
      <c r="AC93" s="75">
        <v>6.75</v>
      </c>
      <c r="AD93" s="75">
        <v>-32.549999999999997</v>
      </c>
      <c r="AE93" s="75">
        <v>-29.38</v>
      </c>
      <c r="AF93" s="105">
        <v>-28.56</v>
      </c>
    </row>
    <row r="94" spans="2:32" x14ac:dyDescent="0.3">
      <c r="B94" s="111">
        <v>14.833333333333314</v>
      </c>
      <c r="C94" s="104">
        <v>7.82</v>
      </c>
      <c r="D94" s="75">
        <v>7.87</v>
      </c>
      <c r="E94" s="75">
        <v>7.77</v>
      </c>
      <c r="F94" s="75">
        <v>-15.38</v>
      </c>
      <c r="G94" s="75">
        <v>-15.15</v>
      </c>
      <c r="H94" s="105">
        <v>-16.32</v>
      </c>
      <c r="I94" s="104">
        <v>7.76</v>
      </c>
      <c r="J94" s="75">
        <v>7.81</v>
      </c>
      <c r="K94" s="75">
        <v>7.58</v>
      </c>
      <c r="L94" s="75">
        <v>-16.059999999999999</v>
      </c>
      <c r="M94" s="75">
        <v>-15.49</v>
      </c>
      <c r="N94" s="105">
        <v>-14.11</v>
      </c>
      <c r="O94" s="104">
        <v>23.38</v>
      </c>
      <c r="P94" s="75">
        <v>23.28</v>
      </c>
      <c r="Q94" s="75">
        <v>23.21</v>
      </c>
      <c r="R94" s="75">
        <v>-12.92</v>
      </c>
      <c r="S94" s="75">
        <v>-11.63</v>
      </c>
      <c r="T94" s="105">
        <v>-7.7249999999999996</v>
      </c>
      <c r="U94" s="104">
        <v>23.13</v>
      </c>
      <c r="V94" s="75">
        <v>23.03</v>
      </c>
      <c r="W94" s="75">
        <v>22.963000000000001</v>
      </c>
      <c r="X94" s="75">
        <v>-3.5379999999999998</v>
      </c>
      <c r="Y94" s="75">
        <v>-3.8530000000000002</v>
      </c>
      <c r="Z94" s="105">
        <v>-3.7269999999999999</v>
      </c>
      <c r="AA94" s="104">
        <v>6.47</v>
      </c>
      <c r="AB94" s="75">
        <v>6.54</v>
      </c>
      <c r="AC94" s="75">
        <v>6.65</v>
      </c>
      <c r="AD94" s="75">
        <v>-32.409999999999997</v>
      </c>
      <c r="AE94" s="75">
        <v>-30.15</v>
      </c>
      <c r="AF94" s="105">
        <v>-28.23</v>
      </c>
    </row>
    <row r="95" spans="2:32" x14ac:dyDescent="0.3">
      <c r="B95" s="111">
        <v>14.99999999999998</v>
      </c>
      <c r="C95" s="104">
        <v>7.72</v>
      </c>
      <c r="D95" s="75">
        <v>7.77</v>
      </c>
      <c r="E95" s="75">
        <v>7.66</v>
      </c>
      <c r="F95" s="75">
        <v>-16.09</v>
      </c>
      <c r="G95" s="75">
        <v>-16.43</v>
      </c>
      <c r="H95" s="105">
        <v>-17.079999999999998</v>
      </c>
      <c r="I95" s="104">
        <v>7.53</v>
      </c>
      <c r="J95" s="75">
        <v>7.57</v>
      </c>
      <c r="K95" s="75">
        <v>7.35</v>
      </c>
      <c r="L95" s="75">
        <v>-14.09</v>
      </c>
      <c r="M95" s="75">
        <v>-13.9</v>
      </c>
      <c r="N95" s="105">
        <v>-12.37</v>
      </c>
      <c r="O95" s="104">
        <v>23.37</v>
      </c>
      <c r="P95" s="75">
        <v>23.24</v>
      </c>
      <c r="Q95" s="75">
        <v>23.15</v>
      </c>
      <c r="R95" s="75">
        <v>-15.15</v>
      </c>
      <c r="S95" s="75">
        <v>-14.22</v>
      </c>
      <c r="T95" s="105">
        <v>-9.8000000000000007</v>
      </c>
      <c r="U95" s="104">
        <v>23</v>
      </c>
      <c r="V95" s="75">
        <v>22.88</v>
      </c>
      <c r="W95" s="75">
        <v>22.818000000000001</v>
      </c>
      <c r="X95" s="75">
        <v>-3.7029999999999998</v>
      </c>
      <c r="Y95" s="75">
        <v>-3.738</v>
      </c>
      <c r="Z95" s="105">
        <v>-3.9529999999999998</v>
      </c>
      <c r="AA95" s="104">
        <v>6.34</v>
      </c>
      <c r="AB95" s="75">
        <v>6.41</v>
      </c>
      <c r="AC95" s="75">
        <v>6.53</v>
      </c>
      <c r="AD95" s="75">
        <v>-32.65</v>
      </c>
      <c r="AE95" s="75">
        <v>-30.32</v>
      </c>
      <c r="AF95" s="105">
        <v>-29.33</v>
      </c>
    </row>
    <row r="96" spans="2:32" x14ac:dyDescent="0.3">
      <c r="B96" s="111">
        <v>15.166666666666647</v>
      </c>
      <c r="C96" s="104">
        <v>7.62</v>
      </c>
      <c r="D96" s="75">
        <v>7.67</v>
      </c>
      <c r="E96" s="75">
        <v>7.56</v>
      </c>
      <c r="F96" s="75">
        <v>-17.05</v>
      </c>
      <c r="G96" s="75">
        <v>-16.93</v>
      </c>
      <c r="H96" s="105">
        <v>-18.12</v>
      </c>
      <c r="I96" s="104">
        <v>7.3</v>
      </c>
      <c r="J96" s="75">
        <v>7.34</v>
      </c>
      <c r="K96" s="75">
        <v>7.13</v>
      </c>
      <c r="L96" s="75">
        <v>-12.01</v>
      </c>
      <c r="M96" s="75">
        <v>-12.32</v>
      </c>
      <c r="N96" s="105">
        <v>-10.61</v>
      </c>
      <c r="O96" s="104">
        <v>23.31</v>
      </c>
      <c r="P96" s="75">
        <v>23.17</v>
      </c>
      <c r="Q96" s="75">
        <v>23.13</v>
      </c>
      <c r="R96" s="75">
        <v>-16.84</v>
      </c>
      <c r="S96" s="75">
        <v>-16.149999999999999</v>
      </c>
      <c r="T96" s="105">
        <v>-11.86</v>
      </c>
      <c r="U96" s="104">
        <v>22.85</v>
      </c>
      <c r="V96" s="75">
        <v>22.75</v>
      </c>
      <c r="W96" s="75">
        <v>22.675000000000001</v>
      </c>
      <c r="X96" s="75">
        <v>-3.3759999999999999</v>
      </c>
      <c r="Y96" s="75">
        <v>-3.7389999999999999</v>
      </c>
      <c r="Z96" s="105">
        <v>-3.419</v>
      </c>
      <c r="AA96" s="104">
        <v>6.2</v>
      </c>
      <c r="AB96" s="75">
        <v>6.28</v>
      </c>
      <c r="AC96" s="75">
        <v>6.39</v>
      </c>
      <c r="AD96" s="75">
        <v>-32.31</v>
      </c>
      <c r="AE96" s="75">
        <v>-30.36</v>
      </c>
      <c r="AF96" s="105">
        <v>-29.09</v>
      </c>
    </row>
    <row r="97" spans="2:32" x14ac:dyDescent="0.3">
      <c r="B97" s="111">
        <v>15.333333333333313</v>
      </c>
      <c r="C97" s="104">
        <v>7.5</v>
      </c>
      <c r="D97" s="75">
        <v>7.56</v>
      </c>
      <c r="E97" s="75">
        <v>7.43</v>
      </c>
      <c r="F97" s="75">
        <v>-18.09</v>
      </c>
      <c r="G97" s="75">
        <v>-18.16</v>
      </c>
      <c r="H97" s="105">
        <v>-18.850000000000001</v>
      </c>
      <c r="I97" s="104">
        <v>7.08</v>
      </c>
      <c r="J97" s="75">
        <v>7.12</v>
      </c>
      <c r="K97" s="75">
        <v>6.91</v>
      </c>
      <c r="L97" s="75">
        <v>-10.55</v>
      </c>
      <c r="M97" s="75">
        <v>-10.54</v>
      </c>
      <c r="N97" s="105">
        <v>-9.41</v>
      </c>
      <c r="O97" s="104">
        <v>23.23</v>
      </c>
      <c r="P97" s="75">
        <v>23.06</v>
      </c>
      <c r="Q97" s="75">
        <v>23.08</v>
      </c>
      <c r="R97" s="75">
        <v>-18.100000000000001</v>
      </c>
      <c r="S97" s="75">
        <v>-18.09</v>
      </c>
      <c r="T97" s="105">
        <v>-14.38</v>
      </c>
      <c r="U97" s="104">
        <v>22.72</v>
      </c>
      <c r="V97" s="75">
        <v>22.59</v>
      </c>
      <c r="W97" s="75">
        <v>22.530999999999999</v>
      </c>
      <c r="X97" s="75">
        <v>-3.6160000000000001</v>
      </c>
      <c r="Y97" s="75">
        <v>-3.4359999999999999</v>
      </c>
      <c r="Z97" s="105">
        <v>-3.4039999999999999</v>
      </c>
      <c r="AA97" s="104">
        <v>6.04</v>
      </c>
      <c r="AB97" s="75">
        <v>6.14</v>
      </c>
      <c r="AC97" s="75">
        <v>6.25</v>
      </c>
      <c r="AD97" s="75">
        <v>-32.33</v>
      </c>
      <c r="AE97" s="75">
        <v>-29.78</v>
      </c>
      <c r="AF97" s="105">
        <v>-29.13</v>
      </c>
    </row>
    <row r="98" spans="2:32" x14ac:dyDescent="0.3">
      <c r="B98" s="111">
        <v>15.499999999999979</v>
      </c>
      <c r="C98" s="104">
        <v>7.37</v>
      </c>
      <c r="D98" s="75">
        <v>7.42</v>
      </c>
      <c r="E98" s="75">
        <v>7.31</v>
      </c>
      <c r="F98" s="75">
        <v>-19.07</v>
      </c>
      <c r="G98" s="75">
        <v>-18.93</v>
      </c>
      <c r="H98" s="105">
        <v>-19.43</v>
      </c>
      <c r="I98" s="104">
        <v>6.86</v>
      </c>
      <c r="J98" s="75">
        <v>6.89</v>
      </c>
      <c r="K98" s="75">
        <v>6.71</v>
      </c>
      <c r="L98" s="75">
        <v>-9.6199999999999992</v>
      </c>
      <c r="M98" s="75">
        <v>-9.67</v>
      </c>
      <c r="N98" s="105">
        <v>-8.69</v>
      </c>
      <c r="O98" s="104">
        <v>23.1</v>
      </c>
      <c r="P98" s="75">
        <v>22.96</v>
      </c>
      <c r="Q98" s="75">
        <v>23</v>
      </c>
      <c r="R98" s="75">
        <v>-19.600000000000001</v>
      </c>
      <c r="S98" s="75">
        <v>-18.89</v>
      </c>
      <c r="T98" s="105">
        <v>-16.36</v>
      </c>
      <c r="U98" s="104">
        <v>22.56</v>
      </c>
      <c r="V98" s="75">
        <v>22.44</v>
      </c>
      <c r="W98" s="75">
        <v>22.387</v>
      </c>
      <c r="X98" s="75">
        <v>-3.411</v>
      </c>
      <c r="Y98" s="75">
        <v>-3.8330000000000002</v>
      </c>
      <c r="Z98" s="105">
        <v>-4.0289999999999999</v>
      </c>
      <c r="AA98" s="104">
        <v>5.85</v>
      </c>
      <c r="AB98" s="75">
        <v>5.98</v>
      </c>
      <c r="AC98" s="75">
        <v>6.08</v>
      </c>
      <c r="AD98" s="75">
        <v>-31.05</v>
      </c>
      <c r="AE98" s="75">
        <v>-29.99</v>
      </c>
      <c r="AF98" s="105">
        <v>-29.7</v>
      </c>
    </row>
    <row r="99" spans="2:32" x14ac:dyDescent="0.3">
      <c r="B99" s="111">
        <v>15.666666666666645</v>
      </c>
      <c r="C99" s="104">
        <v>7.26</v>
      </c>
      <c r="D99" s="75">
        <v>7.32</v>
      </c>
      <c r="E99" s="75">
        <v>7.19</v>
      </c>
      <c r="F99" s="75">
        <v>-19.239999999999998</v>
      </c>
      <c r="G99" s="75">
        <v>-19.34</v>
      </c>
      <c r="H99" s="105">
        <v>-19.579999999999998</v>
      </c>
      <c r="I99" s="104">
        <v>6.67</v>
      </c>
      <c r="J99" s="75">
        <v>6.7</v>
      </c>
      <c r="K99" s="75">
        <v>6.53</v>
      </c>
      <c r="L99" s="75">
        <v>-8.84</v>
      </c>
      <c r="M99" s="75">
        <v>-8.73</v>
      </c>
      <c r="N99" s="105">
        <v>-7.6</v>
      </c>
      <c r="O99" s="104">
        <v>22.98</v>
      </c>
      <c r="P99" s="75">
        <v>22.84</v>
      </c>
      <c r="Q99" s="75">
        <v>22.93</v>
      </c>
      <c r="R99" s="75">
        <v>-20.75</v>
      </c>
      <c r="S99" s="75">
        <v>-19.96</v>
      </c>
      <c r="T99" s="105">
        <v>-17.53</v>
      </c>
      <c r="U99" s="104">
        <v>22.4</v>
      </c>
      <c r="V99" s="75">
        <v>22.29</v>
      </c>
      <c r="W99" s="75">
        <v>22.244</v>
      </c>
      <c r="X99" s="75">
        <v>-3.806</v>
      </c>
      <c r="Y99" s="75">
        <v>-3.6869999999999998</v>
      </c>
      <c r="Z99" s="105">
        <v>-3.8069999999999999</v>
      </c>
      <c r="AA99" s="104">
        <v>5.66</v>
      </c>
      <c r="AB99" s="75">
        <v>5.8</v>
      </c>
      <c r="AC99" s="75">
        <v>5.91</v>
      </c>
      <c r="AD99" s="75">
        <v>-30.38</v>
      </c>
      <c r="AE99" s="75">
        <v>-29.69</v>
      </c>
      <c r="AF99" s="105">
        <v>-28.77</v>
      </c>
    </row>
    <row r="100" spans="2:32" x14ac:dyDescent="0.3">
      <c r="B100" s="111">
        <v>15.833333333333311</v>
      </c>
      <c r="C100" s="104">
        <v>7.12</v>
      </c>
      <c r="D100" s="75">
        <v>7.19</v>
      </c>
      <c r="E100" s="75">
        <v>7.07</v>
      </c>
      <c r="F100" s="75">
        <v>-19.68</v>
      </c>
      <c r="G100" s="75">
        <v>-19.690000000000001</v>
      </c>
      <c r="H100" s="105">
        <v>-19.579999999999998</v>
      </c>
      <c r="I100" s="104">
        <v>6.49</v>
      </c>
      <c r="J100" s="75">
        <v>6.51</v>
      </c>
      <c r="K100" s="75">
        <v>6.36</v>
      </c>
      <c r="L100" s="75">
        <v>-7.61</v>
      </c>
      <c r="M100" s="75">
        <v>-7.593</v>
      </c>
      <c r="N100" s="105">
        <v>-6.8170000000000002</v>
      </c>
      <c r="O100" s="104">
        <v>22.87</v>
      </c>
      <c r="P100" s="75">
        <v>22.74</v>
      </c>
      <c r="Q100" s="75">
        <v>22.83</v>
      </c>
      <c r="R100" s="75">
        <v>-21.1</v>
      </c>
      <c r="S100" s="75">
        <v>-20.84</v>
      </c>
      <c r="T100" s="105">
        <v>-18.940000000000001</v>
      </c>
      <c r="U100" s="104">
        <v>22.25</v>
      </c>
      <c r="V100" s="75">
        <v>22.14</v>
      </c>
      <c r="W100" s="75">
        <v>22.100999999999999</v>
      </c>
      <c r="X100" s="75">
        <v>-3.5030000000000001</v>
      </c>
      <c r="Y100" s="75">
        <v>-3.5630000000000002</v>
      </c>
      <c r="Z100" s="105">
        <v>-3.2440000000000002</v>
      </c>
      <c r="AA100" s="104">
        <v>5.46</v>
      </c>
      <c r="AB100" s="75">
        <v>5.62</v>
      </c>
      <c r="AC100" s="75">
        <v>5.72</v>
      </c>
      <c r="AD100" s="75">
        <v>-27.893000000000001</v>
      </c>
      <c r="AE100" s="75">
        <v>-28.2</v>
      </c>
      <c r="AF100" s="105">
        <v>-27.190999999999999</v>
      </c>
    </row>
    <row r="101" spans="2:32" x14ac:dyDescent="0.3">
      <c r="B101" s="111">
        <v>15.999999999999977</v>
      </c>
      <c r="C101" s="104">
        <v>7</v>
      </c>
      <c r="D101" s="75">
        <v>7.06</v>
      </c>
      <c r="E101" s="75">
        <v>6.95</v>
      </c>
      <c r="F101" s="75">
        <v>-19.89</v>
      </c>
      <c r="G101" s="75">
        <v>-19.89</v>
      </c>
      <c r="H101" s="105">
        <v>-19.52</v>
      </c>
      <c r="I101" s="104">
        <v>6.31</v>
      </c>
      <c r="J101" s="75">
        <v>6.33</v>
      </c>
      <c r="K101" s="75">
        <v>6.2</v>
      </c>
      <c r="L101" s="75">
        <v>-6.9560000000000004</v>
      </c>
      <c r="M101" s="75">
        <v>-6.907</v>
      </c>
      <c r="N101" s="105">
        <v>-6.0119999999999996</v>
      </c>
      <c r="O101" s="104">
        <v>22.77</v>
      </c>
      <c r="P101" s="75">
        <v>22.62</v>
      </c>
      <c r="Q101" s="75">
        <v>22.72</v>
      </c>
      <c r="R101" s="75">
        <v>-21.6</v>
      </c>
      <c r="S101" s="75">
        <v>-21.75</v>
      </c>
      <c r="T101" s="105">
        <v>-19.71</v>
      </c>
      <c r="U101" s="104">
        <v>22.1</v>
      </c>
      <c r="V101" s="75">
        <v>22</v>
      </c>
      <c r="W101" s="75">
        <v>21.957000000000001</v>
      </c>
      <c r="X101" s="75">
        <v>-3.3370000000000002</v>
      </c>
      <c r="Y101" s="75">
        <v>-3.5859999999999999</v>
      </c>
      <c r="Z101" s="105">
        <v>-3.7770000000000001</v>
      </c>
      <c r="AA101" s="104">
        <v>5.25</v>
      </c>
      <c r="AB101" s="75">
        <v>5.42</v>
      </c>
      <c r="AC101" s="75">
        <v>5.51</v>
      </c>
      <c r="AD101" s="75">
        <v>-25.425000000000001</v>
      </c>
      <c r="AE101" s="75">
        <v>-27.367999999999999</v>
      </c>
      <c r="AF101" s="105">
        <v>-25.611999999999998</v>
      </c>
    </row>
    <row r="102" spans="2:32" x14ac:dyDescent="0.3">
      <c r="B102" s="111">
        <v>16.166666666666643</v>
      </c>
      <c r="C102" s="104">
        <v>6.87</v>
      </c>
      <c r="D102" s="75">
        <v>6.93</v>
      </c>
      <c r="E102" s="75">
        <v>6.83</v>
      </c>
      <c r="F102" s="75">
        <v>-19.850000000000001</v>
      </c>
      <c r="G102" s="75">
        <v>-19.79</v>
      </c>
      <c r="H102" s="105">
        <v>-18.89</v>
      </c>
      <c r="I102" s="104">
        <v>6.15</v>
      </c>
      <c r="J102" s="75">
        <v>6.17</v>
      </c>
      <c r="K102" s="75">
        <v>6.06</v>
      </c>
      <c r="L102" s="75">
        <v>-6.3819999999999997</v>
      </c>
      <c r="M102" s="75">
        <v>-6.3890000000000002</v>
      </c>
      <c r="N102" s="105">
        <v>-5.452</v>
      </c>
      <c r="O102" s="104">
        <v>22.67</v>
      </c>
      <c r="P102" s="75">
        <v>22.51</v>
      </c>
      <c r="Q102" s="75">
        <v>22.61</v>
      </c>
      <c r="R102" s="75">
        <v>-21.8</v>
      </c>
      <c r="S102" s="75">
        <v>-21.96</v>
      </c>
      <c r="T102" s="105">
        <v>-20.71</v>
      </c>
      <c r="U102" s="104">
        <v>21.97</v>
      </c>
      <c r="V102" s="75">
        <v>21.86</v>
      </c>
      <c r="W102" s="75">
        <v>21.812999999999999</v>
      </c>
      <c r="X102" s="75">
        <v>-2.8839999999999999</v>
      </c>
      <c r="Y102" s="75">
        <v>-3.2519999999999998</v>
      </c>
      <c r="Z102" s="105">
        <v>-3.762</v>
      </c>
      <c r="AA102" s="104">
        <v>5.01</v>
      </c>
      <c r="AB102" s="75">
        <v>5.18</v>
      </c>
      <c r="AC102" s="75">
        <v>5.27</v>
      </c>
      <c r="AD102" s="75">
        <v>-23</v>
      </c>
      <c r="AE102" s="75">
        <v>-23.87</v>
      </c>
      <c r="AF102" s="105">
        <v>-23.44</v>
      </c>
    </row>
    <row r="103" spans="2:32" x14ac:dyDescent="0.3">
      <c r="B103" s="111">
        <v>16.333333333333311</v>
      </c>
      <c r="C103" s="104">
        <v>6.72</v>
      </c>
      <c r="D103" s="75">
        <v>6.78</v>
      </c>
      <c r="E103" s="75">
        <v>6.68</v>
      </c>
      <c r="F103" s="75">
        <v>-19.64</v>
      </c>
      <c r="G103" s="75">
        <v>-19.850000000000001</v>
      </c>
      <c r="H103" s="105">
        <v>-18.89</v>
      </c>
      <c r="I103" s="104">
        <v>5.99</v>
      </c>
      <c r="J103" s="75">
        <v>6</v>
      </c>
      <c r="K103" s="75">
        <v>5.92</v>
      </c>
      <c r="L103" s="75">
        <v>-5.9260000000000002</v>
      </c>
      <c r="M103" s="75">
        <v>-5.6529999999999996</v>
      </c>
      <c r="N103" s="105">
        <v>-4.4969999999999999</v>
      </c>
      <c r="O103" s="104">
        <v>22.55</v>
      </c>
      <c r="P103" s="75">
        <v>22.39</v>
      </c>
      <c r="Q103" s="75">
        <v>22.49</v>
      </c>
      <c r="R103" s="75">
        <v>-22.55</v>
      </c>
      <c r="S103" s="75">
        <v>-22.39</v>
      </c>
      <c r="T103" s="105">
        <v>-21.38</v>
      </c>
      <c r="U103" s="104">
        <v>21.83</v>
      </c>
      <c r="V103" s="75">
        <v>21.72</v>
      </c>
      <c r="W103" s="75">
        <v>21.664999999999999</v>
      </c>
      <c r="X103" s="75">
        <v>-3.1349999999999998</v>
      </c>
      <c r="Y103" s="75">
        <v>-3.3959999999999999</v>
      </c>
      <c r="Z103" s="105">
        <v>-3.722</v>
      </c>
      <c r="AA103" s="104">
        <v>4.76</v>
      </c>
      <c r="AB103" s="75">
        <v>4.93</v>
      </c>
      <c r="AC103" s="75">
        <v>5.0199999999999996</v>
      </c>
      <c r="AD103" s="75">
        <v>-19.739999999999998</v>
      </c>
      <c r="AE103" s="75">
        <v>-20.92</v>
      </c>
      <c r="AF103" s="105">
        <v>-21.97</v>
      </c>
    </row>
    <row r="104" spans="2:32" x14ac:dyDescent="0.3">
      <c r="B104" s="111">
        <v>16.499999999999979</v>
      </c>
      <c r="C104" s="104">
        <v>6.57</v>
      </c>
      <c r="D104" s="75">
        <v>6.62</v>
      </c>
      <c r="E104" s="75">
        <v>6.51</v>
      </c>
      <c r="F104" s="75">
        <v>-19.41</v>
      </c>
      <c r="G104" s="75">
        <v>-19.82</v>
      </c>
      <c r="H104" s="105">
        <v>-19.02</v>
      </c>
      <c r="I104" s="104">
        <v>5.83</v>
      </c>
      <c r="J104" s="75">
        <v>5.84</v>
      </c>
      <c r="K104" s="75">
        <v>5.75</v>
      </c>
      <c r="L104" s="75">
        <v>-5.6559999999999997</v>
      </c>
      <c r="M104" s="75">
        <v>-5.4119999999999999</v>
      </c>
      <c r="N104" s="105">
        <v>-4.8710000000000004</v>
      </c>
      <c r="O104" s="104">
        <v>22.45</v>
      </c>
      <c r="P104" s="75">
        <v>22.26</v>
      </c>
      <c r="Q104" s="75">
        <v>22.37</v>
      </c>
      <c r="R104" s="75">
        <v>-22.831</v>
      </c>
      <c r="S104" s="75">
        <v>-22.56</v>
      </c>
      <c r="T104" s="105">
        <v>-21.82</v>
      </c>
      <c r="U104" s="104">
        <v>21.7</v>
      </c>
      <c r="V104" s="75">
        <v>21.57</v>
      </c>
      <c r="W104" s="75">
        <v>21.526</v>
      </c>
      <c r="X104" s="75">
        <v>-2.7989999999999999</v>
      </c>
      <c r="Y104" s="75">
        <v>-3.96</v>
      </c>
      <c r="Z104" s="105">
        <v>-3.7330000000000001</v>
      </c>
      <c r="AA104" s="104">
        <v>4.5</v>
      </c>
      <c r="AB104" s="75">
        <v>4.68</v>
      </c>
      <c r="AC104" s="75">
        <v>4.7699999999999996</v>
      </c>
      <c r="AD104" s="75">
        <v>-17.03</v>
      </c>
      <c r="AE104" s="75">
        <v>-17.79</v>
      </c>
      <c r="AF104" s="105">
        <v>-17.96</v>
      </c>
    </row>
    <row r="105" spans="2:32" x14ac:dyDescent="0.3">
      <c r="B105" s="111">
        <v>16.666666666666647</v>
      </c>
      <c r="C105" s="104">
        <v>6.39</v>
      </c>
      <c r="D105" s="75">
        <v>6.47</v>
      </c>
      <c r="E105" s="75">
        <v>6.35</v>
      </c>
      <c r="F105" s="75">
        <v>-19.760000000000002</v>
      </c>
      <c r="G105" s="75">
        <v>-19.48</v>
      </c>
      <c r="H105" s="105">
        <v>-18.649999999999999</v>
      </c>
      <c r="I105" s="104">
        <v>5.66</v>
      </c>
      <c r="J105" s="75">
        <v>5.68</v>
      </c>
      <c r="K105" s="75">
        <v>5.6</v>
      </c>
      <c r="L105" s="75">
        <v>-5.5279999999999996</v>
      </c>
      <c r="M105" s="75">
        <v>-5.3789999999999996</v>
      </c>
      <c r="N105" s="105">
        <v>-5.3159999999999998</v>
      </c>
      <c r="O105" s="104">
        <v>22.3</v>
      </c>
      <c r="P105" s="75">
        <v>22.12</v>
      </c>
      <c r="Q105" s="75">
        <v>22.24</v>
      </c>
      <c r="R105" s="75">
        <v>-22.975000000000001</v>
      </c>
      <c r="S105" s="75">
        <v>-22.73</v>
      </c>
      <c r="T105" s="105">
        <v>-22.54</v>
      </c>
      <c r="U105" s="104">
        <v>21.55</v>
      </c>
      <c r="V105" s="75">
        <v>21.42</v>
      </c>
      <c r="W105" s="75">
        <v>21.382000000000001</v>
      </c>
      <c r="X105" s="75">
        <v>-3.6680000000000001</v>
      </c>
      <c r="Y105" s="75">
        <v>-3.6520000000000001</v>
      </c>
      <c r="Z105" s="105">
        <v>-3.718</v>
      </c>
      <c r="AA105" s="104">
        <v>4.22</v>
      </c>
      <c r="AB105" s="75">
        <v>4.41</v>
      </c>
      <c r="AC105" s="75">
        <v>4.49</v>
      </c>
      <c r="AD105" s="75">
        <v>-13.82</v>
      </c>
      <c r="AE105" s="75">
        <v>-15.17</v>
      </c>
      <c r="AF105" s="105">
        <v>-16.28</v>
      </c>
    </row>
    <row r="106" spans="2:32" x14ac:dyDescent="0.3">
      <c r="B106" s="111">
        <v>16.833333333333314</v>
      </c>
      <c r="C106" s="104">
        <v>6.23</v>
      </c>
      <c r="D106" s="75">
        <v>6.3</v>
      </c>
      <c r="E106" s="75">
        <v>6.21</v>
      </c>
      <c r="F106" s="75">
        <v>-19.14</v>
      </c>
      <c r="G106" s="75">
        <v>-18.940000000000001</v>
      </c>
      <c r="H106" s="105">
        <v>-17.46</v>
      </c>
      <c r="I106" s="104">
        <v>5.51</v>
      </c>
      <c r="J106" s="75">
        <v>5.52</v>
      </c>
      <c r="K106" s="75">
        <v>5.47</v>
      </c>
      <c r="L106" s="75">
        <v>-5.7060000000000004</v>
      </c>
      <c r="M106" s="75">
        <v>-5.2889999999999997</v>
      </c>
      <c r="N106" s="105">
        <v>-5.0220000000000002</v>
      </c>
      <c r="O106" s="104">
        <v>22.15</v>
      </c>
      <c r="P106" s="75">
        <v>22</v>
      </c>
      <c r="Q106" s="75">
        <v>22.11</v>
      </c>
      <c r="R106" s="75">
        <v>-23.562000000000001</v>
      </c>
      <c r="S106" s="75">
        <v>-23.103999999999999</v>
      </c>
      <c r="T106" s="105">
        <v>-22.9</v>
      </c>
      <c r="U106" s="104">
        <v>21.4</v>
      </c>
      <c r="V106" s="75">
        <v>21.28</v>
      </c>
      <c r="W106" s="75">
        <v>21.234999999999999</v>
      </c>
      <c r="X106" s="75">
        <v>-3.53</v>
      </c>
      <c r="Y106" s="75">
        <v>-3.452</v>
      </c>
      <c r="Z106" s="105">
        <v>-4.4080000000000004</v>
      </c>
      <c r="AA106" s="104">
        <v>3.92</v>
      </c>
      <c r="AB106" s="75">
        <v>4.1399999999999997</v>
      </c>
      <c r="AC106" s="75">
        <v>4.21</v>
      </c>
      <c r="AD106" s="75">
        <v>-12.84</v>
      </c>
      <c r="AE106" s="75">
        <v>-12.71</v>
      </c>
      <c r="AF106" s="105">
        <v>-13.21</v>
      </c>
    </row>
    <row r="107" spans="2:32" x14ac:dyDescent="0.3">
      <c r="B107" s="111">
        <v>16.999999999999982</v>
      </c>
      <c r="C107" s="104">
        <v>6.05</v>
      </c>
      <c r="D107" s="75">
        <v>6.13</v>
      </c>
      <c r="E107" s="75">
        <v>6.04</v>
      </c>
      <c r="F107" s="75">
        <v>-18.29</v>
      </c>
      <c r="G107" s="75">
        <v>-18.350000000000001</v>
      </c>
      <c r="H107" s="105">
        <v>-17.190000000000001</v>
      </c>
      <c r="I107" s="104">
        <v>5.35</v>
      </c>
      <c r="J107" s="75">
        <v>5.36</v>
      </c>
      <c r="K107" s="75">
        <v>5.33</v>
      </c>
      <c r="L107" s="75">
        <v>-5.3879999999999999</v>
      </c>
      <c r="M107" s="75">
        <v>-5.08</v>
      </c>
      <c r="N107" s="105">
        <v>-4.2110000000000003</v>
      </c>
      <c r="O107" s="104">
        <v>22.02</v>
      </c>
      <c r="P107" s="75">
        <v>21.88</v>
      </c>
      <c r="Q107" s="75">
        <v>21.98</v>
      </c>
      <c r="R107" s="75">
        <v>-23.792999999999999</v>
      </c>
      <c r="S107" s="75">
        <v>-23.07</v>
      </c>
      <c r="T107" s="105">
        <v>-23.06</v>
      </c>
      <c r="U107" s="104">
        <v>21.25</v>
      </c>
      <c r="V107" s="75">
        <v>21.14</v>
      </c>
      <c r="W107" s="75">
        <v>21.094999999999999</v>
      </c>
      <c r="X107" s="75">
        <v>-3.4820000000000002</v>
      </c>
      <c r="Y107" s="75">
        <v>-3.22</v>
      </c>
      <c r="Z107" s="105">
        <v>-3.6880000000000002</v>
      </c>
      <c r="AA107" s="104">
        <v>3.65</v>
      </c>
      <c r="AB107" s="75">
        <v>3.85</v>
      </c>
      <c r="AC107" s="75">
        <v>3.92</v>
      </c>
      <c r="AD107" s="75">
        <v>-9.6</v>
      </c>
      <c r="AE107" s="75">
        <v>-10.36</v>
      </c>
      <c r="AF107" s="105">
        <v>-11.2</v>
      </c>
    </row>
    <row r="108" spans="2:32" x14ac:dyDescent="0.3">
      <c r="B108" s="111">
        <v>17.16666666666665</v>
      </c>
      <c r="C108" s="104">
        <v>5.89</v>
      </c>
      <c r="D108" s="75">
        <v>5.95</v>
      </c>
      <c r="E108" s="75">
        <v>5.9</v>
      </c>
      <c r="F108" s="75">
        <v>-17.5</v>
      </c>
      <c r="G108" s="75">
        <v>-17.63</v>
      </c>
      <c r="H108" s="105">
        <v>-15.71</v>
      </c>
      <c r="I108" s="104">
        <v>5.2</v>
      </c>
      <c r="J108" s="75">
        <v>5.21</v>
      </c>
      <c r="K108" s="75">
        <v>5.2</v>
      </c>
      <c r="L108" s="75">
        <v>-5.0869999999999997</v>
      </c>
      <c r="M108" s="75">
        <v>-4.8079999999999998</v>
      </c>
      <c r="N108" s="105">
        <v>-4.3540000000000001</v>
      </c>
      <c r="O108" s="104">
        <v>21.88</v>
      </c>
      <c r="P108" s="75">
        <v>21.75</v>
      </c>
      <c r="Q108" s="75">
        <v>21.86</v>
      </c>
      <c r="R108" s="75">
        <v>-23.83</v>
      </c>
      <c r="S108" s="75">
        <v>-23.24</v>
      </c>
      <c r="T108" s="105">
        <v>-23.22</v>
      </c>
      <c r="U108" s="104">
        <v>21.11</v>
      </c>
      <c r="V108" s="75">
        <v>21</v>
      </c>
      <c r="W108" s="75">
        <v>20.951000000000001</v>
      </c>
      <c r="X108" s="75">
        <v>-3.28</v>
      </c>
      <c r="Y108" s="75">
        <v>-3.2639999999999998</v>
      </c>
      <c r="Z108" s="105">
        <v>-3.673</v>
      </c>
      <c r="AA108" s="104">
        <v>3.4</v>
      </c>
      <c r="AB108" s="75">
        <v>3.59</v>
      </c>
      <c r="AC108" s="75">
        <v>3.65</v>
      </c>
      <c r="AD108" s="75">
        <v>-8.42</v>
      </c>
      <c r="AE108" s="75">
        <v>-8.77</v>
      </c>
      <c r="AF108" s="105">
        <v>-8.9700000000000006</v>
      </c>
    </row>
    <row r="109" spans="2:32" x14ac:dyDescent="0.3">
      <c r="B109" s="111">
        <v>17.333333333333318</v>
      </c>
      <c r="C109" s="104">
        <v>5.71</v>
      </c>
      <c r="D109" s="75">
        <v>5.78</v>
      </c>
      <c r="E109" s="75">
        <v>5.75</v>
      </c>
      <c r="F109" s="75">
        <v>-16.690000000000001</v>
      </c>
      <c r="G109" s="75">
        <v>-16.579999999999998</v>
      </c>
      <c r="H109" s="105">
        <v>-15.06</v>
      </c>
      <c r="I109" s="104">
        <v>5.05</v>
      </c>
      <c r="J109" s="75">
        <v>5.07</v>
      </c>
      <c r="K109" s="75">
        <v>5.09</v>
      </c>
      <c r="L109" s="75">
        <v>-5.0419999999999998</v>
      </c>
      <c r="M109" s="75">
        <v>-4.8499999999999996</v>
      </c>
      <c r="N109" s="105">
        <v>-3.5710000000000002</v>
      </c>
      <c r="O109" s="104">
        <v>21.74</v>
      </c>
      <c r="P109" s="75">
        <v>21.61</v>
      </c>
      <c r="Q109" s="75">
        <v>21.73</v>
      </c>
      <c r="R109" s="75">
        <v>-23.867000000000001</v>
      </c>
      <c r="S109" s="75">
        <v>-23.628</v>
      </c>
      <c r="T109" s="105">
        <v>-23.31</v>
      </c>
      <c r="U109" s="104">
        <v>20.97</v>
      </c>
      <c r="V109" s="75">
        <v>20.87</v>
      </c>
      <c r="W109" s="75">
        <v>20.81</v>
      </c>
      <c r="X109" s="75">
        <v>-3.2949999999999999</v>
      </c>
      <c r="Y109" s="75">
        <v>-3.278</v>
      </c>
      <c r="Z109" s="105">
        <v>-3.7480000000000002</v>
      </c>
      <c r="AA109" s="104">
        <v>3.17</v>
      </c>
      <c r="AB109" s="75">
        <v>3.36</v>
      </c>
      <c r="AC109" s="75">
        <v>3.42</v>
      </c>
      <c r="AD109" s="75">
        <v>-6.2270000000000003</v>
      </c>
      <c r="AE109" s="75">
        <v>-6.383</v>
      </c>
      <c r="AF109" s="105">
        <v>-6.835</v>
      </c>
    </row>
    <row r="110" spans="2:32" x14ac:dyDescent="0.3">
      <c r="B110" s="111">
        <v>17.499999999999986</v>
      </c>
      <c r="C110" s="104">
        <v>5.52</v>
      </c>
      <c r="D110" s="75">
        <v>5.61</v>
      </c>
      <c r="E110" s="75">
        <v>5.59</v>
      </c>
      <c r="F110" s="75">
        <v>-15.96</v>
      </c>
      <c r="G110" s="75">
        <v>-15.71</v>
      </c>
      <c r="H110" s="105">
        <v>-14.11</v>
      </c>
      <c r="I110" s="104">
        <v>4.9000000000000004</v>
      </c>
      <c r="J110" s="75">
        <v>4.93</v>
      </c>
      <c r="K110" s="75">
        <v>4.97</v>
      </c>
      <c r="L110" s="75">
        <v>-4.6929999999999996</v>
      </c>
      <c r="M110" s="75">
        <v>-4.407</v>
      </c>
      <c r="N110" s="105">
        <v>-3.524</v>
      </c>
      <c r="O110" s="104">
        <v>21.59</v>
      </c>
      <c r="P110" s="75">
        <v>21.46</v>
      </c>
      <c r="Q110" s="75">
        <v>21.6</v>
      </c>
      <c r="R110" s="75">
        <v>-23.917999999999999</v>
      </c>
      <c r="S110" s="75">
        <v>-23.492999999999999</v>
      </c>
      <c r="T110" s="105">
        <v>-22.88</v>
      </c>
      <c r="U110" s="104">
        <v>20.83</v>
      </c>
      <c r="V110" s="75">
        <v>20.72</v>
      </c>
      <c r="W110" s="75">
        <v>20.664000000000001</v>
      </c>
      <c r="X110" s="75">
        <v>-3.2709999999999999</v>
      </c>
      <c r="Y110" s="75">
        <v>-3.4409999999999998</v>
      </c>
      <c r="Z110" s="105">
        <v>-3.6440000000000001</v>
      </c>
      <c r="AA110" s="104">
        <v>2.95</v>
      </c>
      <c r="AB110" s="75">
        <v>3.12</v>
      </c>
      <c r="AC110" s="75">
        <v>3.18</v>
      </c>
      <c r="AD110" s="75">
        <v>-5.5110000000000001</v>
      </c>
      <c r="AE110" s="75">
        <v>-5.9550000000000001</v>
      </c>
      <c r="AF110" s="105">
        <v>-5.44</v>
      </c>
    </row>
    <row r="111" spans="2:32" x14ac:dyDescent="0.3">
      <c r="B111" s="111">
        <v>17.666666666666654</v>
      </c>
      <c r="C111" s="104">
        <v>5.34</v>
      </c>
      <c r="D111" s="75">
        <v>5.44</v>
      </c>
      <c r="E111" s="75">
        <v>5.45</v>
      </c>
      <c r="F111" s="75">
        <v>-15.09</v>
      </c>
      <c r="G111" s="75">
        <v>-14.68</v>
      </c>
      <c r="H111" s="105">
        <v>-12.99</v>
      </c>
      <c r="I111" s="104">
        <v>4.76</v>
      </c>
      <c r="J111" s="75">
        <v>4.8</v>
      </c>
      <c r="K111" s="75">
        <v>4.8600000000000003</v>
      </c>
      <c r="L111" s="75">
        <v>-4.875</v>
      </c>
      <c r="M111" s="75">
        <v>-4.0549999999999997</v>
      </c>
      <c r="N111" s="105">
        <v>-3.504</v>
      </c>
      <c r="O111" s="104">
        <v>21.44</v>
      </c>
      <c r="P111" s="75">
        <v>21.3</v>
      </c>
      <c r="Q111" s="75">
        <v>21.46</v>
      </c>
      <c r="R111" s="75">
        <v>-23.422999999999998</v>
      </c>
      <c r="S111" s="75">
        <v>-23.359000000000002</v>
      </c>
      <c r="T111" s="105">
        <v>-23.05</v>
      </c>
      <c r="U111" s="104">
        <v>20.69</v>
      </c>
      <c r="V111" s="75">
        <v>20.58</v>
      </c>
      <c r="W111" s="75">
        <v>20.521000000000001</v>
      </c>
      <c r="X111" s="75">
        <v>-3.2309999999999999</v>
      </c>
      <c r="Y111" s="75">
        <v>-3.6190000000000002</v>
      </c>
      <c r="Z111" s="105">
        <v>-3.629</v>
      </c>
      <c r="AA111" s="104">
        <v>2.75</v>
      </c>
      <c r="AB111" s="75">
        <v>2.92</v>
      </c>
      <c r="AC111" s="75">
        <v>2.97</v>
      </c>
      <c r="AD111" s="75">
        <v>-4.1580000000000004</v>
      </c>
      <c r="AE111" s="75">
        <v>-3.7189999999999999</v>
      </c>
      <c r="AF111" s="105">
        <v>-3.859</v>
      </c>
    </row>
    <row r="112" spans="2:32" x14ac:dyDescent="0.3">
      <c r="B112" s="111">
        <v>17.833333333333321</v>
      </c>
      <c r="C112" s="104">
        <v>5.13</v>
      </c>
      <c r="D112" s="75">
        <v>5.26</v>
      </c>
      <c r="E112" s="75">
        <v>5.3</v>
      </c>
      <c r="F112" s="75">
        <v>-14.74</v>
      </c>
      <c r="G112" s="75">
        <v>-14.2</v>
      </c>
      <c r="H112" s="105">
        <v>-12.05</v>
      </c>
      <c r="I112" s="104">
        <v>4.59</v>
      </c>
      <c r="J112" s="75">
        <v>4.66</v>
      </c>
      <c r="K112" s="75">
        <v>4.76</v>
      </c>
      <c r="L112" s="75">
        <v>-4.4550000000000001</v>
      </c>
      <c r="M112" s="75">
        <v>-4.0419999999999998</v>
      </c>
      <c r="N112" s="105">
        <v>-2.9820000000000002</v>
      </c>
      <c r="O112" s="104">
        <v>21.3</v>
      </c>
      <c r="P112" s="75">
        <v>21.13</v>
      </c>
      <c r="Q112" s="75">
        <v>21.32</v>
      </c>
      <c r="R112" s="75">
        <v>-23.411000000000001</v>
      </c>
      <c r="S112" s="75">
        <v>-23.3</v>
      </c>
      <c r="T112" s="105">
        <v>-22.85</v>
      </c>
      <c r="U112" s="104">
        <v>20.56</v>
      </c>
      <c r="V112" s="75">
        <v>20.420000000000002</v>
      </c>
      <c r="W112" s="75">
        <v>20.376999999999999</v>
      </c>
      <c r="X112" s="75">
        <v>-3.145</v>
      </c>
      <c r="Y112" s="75">
        <v>-3.81</v>
      </c>
      <c r="Z112" s="105">
        <v>-3.46</v>
      </c>
      <c r="AA112" s="104">
        <v>2.56</v>
      </c>
      <c r="AB112" s="75">
        <v>2.71</v>
      </c>
      <c r="AC112" s="75">
        <v>2.76</v>
      </c>
      <c r="AD112" s="75">
        <v>-3.56</v>
      </c>
      <c r="AE112" s="75">
        <v>-4.1959999999999997</v>
      </c>
      <c r="AF112" s="105">
        <v>-3.1560000000000001</v>
      </c>
    </row>
    <row r="113" spans="2:32" x14ac:dyDescent="0.3">
      <c r="B113" s="111">
        <v>17.999999999999989</v>
      </c>
      <c r="C113" s="104">
        <v>4.9400000000000004</v>
      </c>
      <c r="D113" s="75">
        <v>5.07</v>
      </c>
      <c r="E113" s="75">
        <v>5.13</v>
      </c>
      <c r="F113" s="75">
        <v>-13.83</v>
      </c>
      <c r="G113" s="75">
        <v>-13.26</v>
      </c>
      <c r="H113" s="105">
        <v>-11.9</v>
      </c>
      <c r="I113" s="104">
        <v>4.4400000000000004</v>
      </c>
      <c r="J113" s="75">
        <v>4.5199999999999996</v>
      </c>
      <c r="K113" s="75">
        <v>4.6399999999999997</v>
      </c>
      <c r="L113" s="75">
        <v>-5.2030000000000003</v>
      </c>
      <c r="M113" s="75">
        <v>-4.1280000000000001</v>
      </c>
      <c r="N113" s="105">
        <v>-2.8849999999999998</v>
      </c>
      <c r="O113" s="104">
        <v>21.12</v>
      </c>
      <c r="P113" s="75">
        <v>20.97</v>
      </c>
      <c r="Q113" s="75">
        <v>21.14</v>
      </c>
      <c r="R113" s="75">
        <v>-23.4</v>
      </c>
      <c r="S113" s="75">
        <v>-23.09</v>
      </c>
      <c r="T113" s="105">
        <v>-22.835000000000001</v>
      </c>
      <c r="U113" s="104">
        <v>20.41</v>
      </c>
      <c r="V113" s="75">
        <v>20.27</v>
      </c>
      <c r="W113" s="75">
        <v>20.233000000000001</v>
      </c>
      <c r="X113" s="75">
        <v>-3.593</v>
      </c>
      <c r="Y113" s="75">
        <v>-3.6619999999999999</v>
      </c>
      <c r="Z113" s="105">
        <v>-3.5990000000000002</v>
      </c>
      <c r="AA113" s="104">
        <v>2.38</v>
      </c>
      <c r="AB113" s="75">
        <v>2.5299999999999998</v>
      </c>
      <c r="AC113" s="75">
        <v>2.57</v>
      </c>
      <c r="AD113" s="75">
        <v>-3.7469999999999999</v>
      </c>
      <c r="AE113" s="75">
        <v>-3.9420000000000002</v>
      </c>
      <c r="AF113" s="105">
        <v>-2.7549999999999999</v>
      </c>
    </row>
    <row r="114" spans="2:32" x14ac:dyDescent="0.3">
      <c r="B114" s="111">
        <v>18.166666666666657</v>
      </c>
      <c r="C114" s="104">
        <v>4.7300000000000004</v>
      </c>
      <c r="D114" s="75">
        <v>4.87</v>
      </c>
      <c r="E114" s="75">
        <v>4.9800000000000004</v>
      </c>
      <c r="F114" s="75">
        <v>-12.94</v>
      </c>
      <c r="G114" s="75">
        <v>-12.74</v>
      </c>
      <c r="H114" s="105">
        <v>-10.49</v>
      </c>
      <c r="I114" s="104">
        <v>4.28</v>
      </c>
      <c r="J114" s="75">
        <v>4.37</v>
      </c>
      <c r="K114" s="75">
        <v>4.53</v>
      </c>
      <c r="L114" s="75">
        <v>-4.891</v>
      </c>
      <c r="M114" s="75">
        <v>-4.12</v>
      </c>
      <c r="N114" s="105">
        <v>-3.6120000000000001</v>
      </c>
      <c r="O114" s="104">
        <v>20.94</v>
      </c>
      <c r="P114" s="75">
        <v>20.81</v>
      </c>
      <c r="Q114" s="75">
        <v>20.98</v>
      </c>
      <c r="R114" s="75">
        <v>-23.2</v>
      </c>
      <c r="S114" s="75">
        <v>-22.6</v>
      </c>
      <c r="T114" s="105">
        <v>-22.82</v>
      </c>
      <c r="U114" s="104">
        <v>20.260000000000002</v>
      </c>
      <c r="V114" s="75">
        <v>20.13</v>
      </c>
      <c r="W114" s="75">
        <v>20.09</v>
      </c>
      <c r="X114" s="75">
        <v>-3.5590000000000002</v>
      </c>
      <c r="Y114" s="75">
        <v>-3.4409999999999998</v>
      </c>
      <c r="Z114" s="105">
        <v>-3.5840000000000001</v>
      </c>
      <c r="AA114" s="104">
        <v>2.19</v>
      </c>
      <c r="AB114" s="75">
        <v>2.34</v>
      </c>
      <c r="AC114" s="75">
        <v>2.38</v>
      </c>
      <c r="AD114" s="75">
        <v>-3.5550000000000002</v>
      </c>
      <c r="AE114" s="75">
        <v>-3.7490000000000001</v>
      </c>
      <c r="AF114" s="105">
        <v>-1.3759999999999999</v>
      </c>
    </row>
    <row r="115" spans="2:32" x14ac:dyDescent="0.3">
      <c r="B115" s="111">
        <v>18.333333333333325</v>
      </c>
      <c r="C115" s="104">
        <v>4.53</v>
      </c>
      <c r="D115" s="75">
        <v>4.67</v>
      </c>
      <c r="E115" s="75">
        <v>4.84</v>
      </c>
      <c r="F115" s="75">
        <v>-11.86</v>
      </c>
      <c r="G115" s="75">
        <v>-12.15</v>
      </c>
      <c r="H115" s="105">
        <v>-9.74</v>
      </c>
      <c r="I115" s="104">
        <v>4.13</v>
      </c>
      <c r="J115" s="75">
        <v>4.22</v>
      </c>
      <c r="K115" s="75">
        <v>4.43</v>
      </c>
      <c r="L115" s="75">
        <v>-4.9429999999999996</v>
      </c>
      <c r="M115" s="75">
        <v>-4.3150000000000004</v>
      </c>
      <c r="N115" s="105">
        <v>-2.847</v>
      </c>
      <c r="O115" s="104">
        <v>20.78</v>
      </c>
      <c r="P115" s="75">
        <v>20.65</v>
      </c>
      <c r="Q115" s="75">
        <v>20.81</v>
      </c>
      <c r="R115" s="75">
        <v>-23</v>
      </c>
      <c r="S115" s="75">
        <v>-22.19</v>
      </c>
      <c r="T115" s="105">
        <v>-22.27</v>
      </c>
      <c r="U115" s="104">
        <v>20.11</v>
      </c>
      <c r="V115" s="75">
        <v>19.98</v>
      </c>
      <c r="W115" s="75">
        <v>19.942</v>
      </c>
      <c r="X115" s="75">
        <v>-3.3719999999999999</v>
      </c>
      <c r="Y115" s="75">
        <v>-3.3929999999999998</v>
      </c>
      <c r="Z115" s="105">
        <v>-3.3490000000000002</v>
      </c>
      <c r="AA115" s="104">
        <v>2.02</v>
      </c>
      <c r="AB115" s="75">
        <v>2.19</v>
      </c>
      <c r="AC115" s="75">
        <v>2.23</v>
      </c>
      <c r="AD115" s="75">
        <v>-3.2469999999999999</v>
      </c>
      <c r="AE115" s="75">
        <v>-2.4249999999999998</v>
      </c>
      <c r="AF115" s="105">
        <v>-0.69699999999999995</v>
      </c>
    </row>
    <row r="116" spans="2:32" x14ac:dyDescent="0.3">
      <c r="B116" s="111">
        <v>18.499999999999993</v>
      </c>
      <c r="C116" s="104">
        <v>4.33</v>
      </c>
      <c r="D116" s="75">
        <v>4.47</v>
      </c>
      <c r="E116" s="75">
        <v>4.68</v>
      </c>
      <c r="F116" s="75">
        <v>-10.81</v>
      </c>
      <c r="G116" s="75">
        <v>-11.644</v>
      </c>
      <c r="H116" s="105">
        <v>-9.0399999999999991</v>
      </c>
      <c r="I116" s="104">
        <v>3.97</v>
      </c>
      <c r="J116" s="75">
        <v>4.07</v>
      </c>
      <c r="K116" s="75">
        <v>4.32</v>
      </c>
      <c r="L116" s="75">
        <v>-4.8049999999999997</v>
      </c>
      <c r="M116" s="75">
        <v>-4.508</v>
      </c>
      <c r="N116" s="105">
        <v>-2.9289999999999998</v>
      </c>
      <c r="O116" s="104">
        <v>20.61</v>
      </c>
      <c r="P116" s="75">
        <v>20.48</v>
      </c>
      <c r="Q116" s="75">
        <v>20.65</v>
      </c>
      <c r="R116" s="75">
        <v>-22.77</v>
      </c>
      <c r="S116" s="75">
        <v>-21.74</v>
      </c>
      <c r="T116" s="105">
        <v>-21.95</v>
      </c>
      <c r="U116" s="104">
        <v>19.97</v>
      </c>
      <c r="V116" s="75">
        <v>19.84</v>
      </c>
      <c r="W116" s="75">
        <v>19.802</v>
      </c>
      <c r="X116" s="75">
        <v>-3.2770000000000001</v>
      </c>
      <c r="Y116" s="75">
        <v>-3.24</v>
      </c>
      <c r="Z116" s="105">
        <v>-3.5550000000000002</v>
      </c>
      <c r="AA116" s="104">
        <v>1.86</v>
      </c>
      <c r="AB116" s="75">
        <v>2.0099999999999998</v>
      </c>
      <c r="AC116" s="75">
        <v>2.0499999999999998</v>
      </c>
      <c r="AD116" s="75">
        <v>-2.375</v>
      </c>
      <c r="AE116" s="75">
        <v>-3.448</v>
      </c>
      <c r="AF116" s="105">
        <v>-1.8</v>
      </c>
    </row>
    <row r="117" spans="2:32" x14ac:dyDescent="0.3">
      <c r="B117" s="111">
        <v>18.666666666666661</v>
      </c>
      <c r="C117" s="104">
        <v>4.13</v>
      </c>
      <c r="D117" s="75">
        <v>4.3099999999999996</v>
      </c>
      <c r="E117" s="75">
        <v>4.53</v>
      </c>
      <c r="F117" s="75">
        <v>-9.86</v>
      </c>
      <c r="G117" s="75">
        <v>-10.86</v>
      </c>
      <c r="H117" s="105">
        <v>-8.2200000000000006</v>
      </c>
      <c r="I117" s="104">
        <v>3.82</v>
      </c>
      <c r="J117" s="75">
        <v>3.95</v>
      </c>
      <c r="K117" s="75">
        <v>4.21</v>
      </c>
      <c r="L117" s="75">
        <v>-4.7169999999999996</v>
      </c>
      <c r="M117" s="75">
        <v>-4.6029999999999998</v>
      </c>
      <c r="N117" s="105">
        <v>-2.964</v>
      </c>
      <c r="O117" s="104">
        <v>20.45</v>
      </c>
      <c r="P117" s="75">
        <v>20.309999999999999</v>
      </c>
      <c r="Q117" s="75">
        <v>20.49</v>
      </c>
      <c r="R117" s="75">
        <v>-22.06</v>
      </c>
      <c r="S117" s="75">
        <v>-21.18</v>
      </c>
      <c r="T117" s="105">
        <v>-21.45</v>
      </c>
      <c r="U117" s="104">
        <v>19.829999999999998</v>
      </c>
      <c r="V117" s="75">
        <v>19.7</v>
      </c>
      <c r="W117" s="75">
        <v>19.658999999999999</v>
      </c>
      <c r="X117" s="75">
        <v>-3.048</v>
      </c>
      <c r="Y117" s="75">
        <v>-3.242</v>
      </c>
      <c r="Z117" s="105">
        <v>-3.54</v>
      </c>
      <c r="AA117" s="104">
        <v>1.68</v>
      </c>
      <c r="AB117" s="75">
        <v>1.83</v>
      </c>
      <c r="AC117" s="75">
        <v>1.86</v>
      </c>
      <c r="AD117" s="75">
        <v>-2.8279999999999998</v>
      </c>
      <c r="AE117" s="75">
        <v>-2.5470000000000002</v>
      </c>
      <c r="AF117" s="105">
        <v>-0.96499999999999997</v>
      </c>
    </row>
    <row r="118" spans="2:32" x14ac:dyDescent="0.3">
      <c r="B118" s="111">
        <v>18.833333333333329</v>
      </c>
      <c r="C118" s="104">
        <v>3.94</v>
      </c>
      <c r="D118" s="75">
        <v>4.16</v>
      </c>
      <c r="E118" s="75">
        <v>4.37</v>
      </c>
      <c r="F118" s="75">
        <v>-8.7200000000000006</v>
      </c>
      <c r="G118" s="75">
        <v>-10.215</v>
      </c>
      <c r="H118" s="105">
        <v>-7.8789999999999996</v>
      </c>
      <c r="I118" s="104">
        <v>3.68</v>
      </c>
      <c r="J118" s="75">
        <v>3.84</v>
      </c>
      <c r="K118" s="75">
        <v>4.09</v>
      </c>
      <c r="L118" s="75">
        <v>-4.548</v>
      </c>
      <c r="M118" s="75">
        <v>-4.1159999999999997</v>
      </c>
      <c r="N118" s="105">
        <v>-3.012</v>
      </c>
      <c r="O118" s="104">
        <v>20.28</v>
      </c>
      <c r="P118" s="75">
        <v>20.14</v>
      </c>
      <c r="Q118" s="75">
        <v>20.32</v>
      </c>
      <c r="R118" s="75">
        <v>-21.64</v>
      </c>
      <c r="S118" s="75">
        <v>-20.83</v>
      </c>
      <c r="T118" s="105">
        <v>-20.84</v>
      </c>
      <c r="U118" s="104">
        <v>19.68</v>
      </c>
      <c r="V118" s="75">
        <v>19.559999999999999</v>
      </c>
      <c r="W118" s="75">
        <v>19.515000000000001</v>
      </c>
      <c r="X118" s="75">
        <v>-3.1019999999999999</v>
      </c>
      <c r="Y118" s="75">
        <v>-3.3050000000000002</v>
      </c>
      <c r="Z118" s="105">
        <v>-3.3340000000000001</v>
      </c>
      <c r="AA118" s="104">
        <v>1.51</v>
      </c>
      <c r="AB118" s="75">
        <v>1.68</v>
      </c>
      <c r="AC118" s="75">
        <v>1.71</v>
      </c>
      <c r="AD118" s="75">
        <v>-3.0150000000000001</v>
      </c>
      <c r="AE118" s="75">
        <v>-2.456</v>
      </c>
      <c r="AF118" s="105">
        <v>-1.0960000000000001</v>
      </c>
    </row>
    <row r="119" spans="2:32" x14ac:dyDescent="0.3">
      <c r="B119" s="111">
        <v>18.999999999999996</v>
      </c>
      <c r="C119" s="104">
        <v>3.71</v>
      </c>
      <c r="D119" s="75">
        <v>4</v>
      </c>
      <c r="E119" s="75">
        <v>4.21</v>
      </c>
      <c r="F119" s="75">
        <v>-8.2469999999999999</v>
      </c>
      <c r="G119" s="75">
        <v>-9.2539999999999996</v>
      </c>
      <c r="H119" s="105">
        <v>-8.1059999999999999</v>
      </c>
      <c r="I119" s="104">
        <v>3.51</v>
      </c>
      <c r="J119" s="75">
        <v>3.73</v>
      </c>
      <c r="K119" s="75">
        <v>3.97</v>
      </c>
      <c r="L119" s="75">
        <v>-4.2510000000000003</v>
      </c>
      <c r="M119" s="75">
        <v>-3.9209999999999998</v>
      </c>
      <c r="N119" s="105">
        <v>-3.133</v>
      </c>
      <c r="O119" s="104">
        <v>20.12</v>
      </c>
      <c r="P119" s="75">
        <v>19.95</v>
      </c>
      <c r="Q119" s="75">
        <v>20.149999999999999</v>
      </c>
      <c r="R119" s="75">
        <v>-20.77</v>
      </c>
      <c r="S119" s="75">
        <v>-20.47</v>
      </c>
      <c r="T119" s="105">
        <v>-20.68</v>
      </c>
      <c r="U119" s="104">
        <v>19.55</v>
      </c>
      <c r="V119" s="75">
        <v>19.41</v>
      </c>
      <c r="W119" s="75">
        <v>19.372</v>
      </c>
      <c r="X119" s="75">
        <v>-2.758</v>
      </c>
      <c r="Y119" s="75">
        <v>-3.4550000000000001</v>
      </c>
      <c r="Z119" s="105">
        <v>-3.51</v>
      </c>
      <c r="AA119" s="104">
        <v>1.37</v>
      </c>
      <c r="AB119" s="75">
        <v>1.51</v>
      </c>
      <c r="AC119" s="75">
        <v>1.54</v>
      </c>
      <c r="AD119" s="75">
        <v>-2.2679999999999998</v>
      </c>
      <c r="AE119" s="75">
        <v>-2.9689999999999999</v>
      </c>
      <c r="AF119" s="105">
        <v>-7.4999999999999997E-2</v>
      </c>
    </row>
    <row r="120" spans="2:32" x14ac:dyDescent="0.3">
      <c r="B120" s="111">
        <v>19.166666666666664</v>
      </c>
      <c r="C120" s="104">
        <v>3.53</v>
      </c>
      <c r="D120" s="75">
        <v>3.83</v>
      </c>
      <c r="E120" s="75">
        <v>4</v>
      </c>
      <c r="F120" s="75">
        <v>-8.1769999999999996</v>
      </c>
      <c r="G120" s="75">
        <v>-8.9250000000000007</v>
      </c>
      <c r="H120" s="105">
        <v>-7.5670000000000002</v>
      </c>
      <c r="I120" s="104">
        <v>3.31</v>
      </c>
      <c r="J120" s="75">
        <v>3.6</v>
      </c>
      <c r="K120" s="75">
        <v>3.8</v>
      </c>
      <c r="L120" s="75">
        <v>-3.9950000000000001</v>
      </c>
      <c r="M120" s="75">
        <v>-4.0359999999999996</v>
      </c>
      <c r="N120" s="105">
        <v>-3.851</v>
      </c>
      <c r="O120" s="104">
        <v>19.940000000000001</v>
      </c>
      <c r="P120" s="75">
        <v>19.77</v>
      </c>
      <c r="Q120" s="75">
        <v>19.96</v>
      </c>
      <c r="R120" s="75">
        <v>-20.350000000000001</v>
      </c>
      <c r="S120" s="75">
        <v>-19.89</v>
      </c>
      <c r="T120" s="105">
        <v>-20.420000000000002</v>
      </c>
      <c r="U120" s="104">
        <v>19.420000000000002</v>
      </c>
      <c r="V120" s="75">
        <v>19.260000000000002</v>
      </c>
      <c r="W120" s="75">
        <v>19.228000000000002</v>
      </c>
      <c r="X120" s="75">
        <v>-2.9340000000000002</v>
      </c>
      <c r="Y120" s="75">
        <v>-3.4630000000000001</v>
      </c>
      <c r="Z120" s="105">
        <v>-3.4950000000000001</v>
      </c>
      <c r="AA120" s="104">
        <v>1.24</v>
      </c>
      <c r="AB120" s="75">
        <v>1.34</v>
      </c>
      <c r="AC120" s="75">
        <v>1.37</v>
      </c>
      <c r="AD120" s="75">
        <v>-2.3370000000000002</v>
      </c>
      <c r="AE120" s="75">
        <v>-2.8780000000000001</v>
      </c>
      <c r="AF120" s="105">
        <v>0.69499999999999995</v>
      </c>
    </row>
    <row r="121" spans="2:32" x14ac:dyDescent="0.3">
      <c r="B121" s="111">
        <v>19.333333333333332</v>
      </c>
      <c r="C121" s="104">
        <v>3.32</v>
      </c>
      <c r="D121" s="75">
        <v>3.58</v>
      </c>
      <c r="E121" s="75">
        <v>3.82</v>
      </c>
      <c r="F121" s="75">
        <v>-7.9050000000000002</v>
      </c>
      <c r="G121" s="75">
        <v>-8.2810000000000006</v>
      </c>
      <c r="H121" s="105">
        <v>-7.4109999999999996</v>
      </c>
      <c r="I121" s="104">
        <v>3.13</v>
      </c>
      <c r="J121" s="75">
        <v>3.4</v>
      </c>
      <c r="K121" s="75">
        <v>3.64</v>
      </c>
      <c r="L121" s="75">
        <v>-4.1790000000000003</v>
      </c>
      <c r="M121" s="75">
        <v>-3.5289999999999999</v>
      </c>
      <c r="N121" s="105">
        <v>-3.69</v>
      </c>
      <c r="O121" s="104">
        <v>19.75</v>
      </c>
      <c r="P121" s="75">
        <v>19.59</v>
      </c>
      <c r="Q121" s="75">
        <v>19.78</v>
      </c>
      <c r="R121" s="75">
        <v>-20.07</v>
      </c>
      <c r="S121" s="75">
        <v>-19.260000000000002</v>
      </c>
      <c r="T121" s="105">
        <v>-19.739999999999998</v>
      </c>
      <c r="U121" s="104">
        <v>19.27</v>
      </c>
      <c r="V121" s="75">
        <v>19.11</v>
      </c>
      <c r="W121" s="75">
        <v>19.084</v>
      </c>
      <c r="X121" s="75">
        <v>-3.274</v>
      </c>
      <c r="Y121" s="75">
        <v>-3.37</v>
      </c>
      <c r="Z121" s="105">
        <v>-3.0129999999999999</v>
      </c>
      <c r="AA121" s="104">
        <v>1.07</v>
      </c>
      <c r="AB121" s="75">
        <v>1.18</v>
      </c>
      <c r="AC121" s="75">
        <v>1.2</v>
      </c>
      <c r="AD121" s="75">
        <v>-2.2970000000000002</v>
      </c>
      <c r="AE121" s="75">
        <v>-2.8730000000000002</v>
      </c>
      <c r="AF121" s="105">
        <v>-0.49399999999999999</v>
      </c>
    </row>
    <row r="122" spans="2:32" x14ac:dyDescent="0.3">
      <c r="B122" s="111">
        <v>19.5</v>
      </c>
      <c r="C122" s="104">
        <v>3.13</v>
      </c>
      <c r="D122" s="75">
        <v>3.38</v>
      </c>
      <c r="E122" s="75">
        <v>3.65</v>
      </c>
      <c r="F122" s="75">
        <v>-7.2530000000000001</v>
      </c>
      <c r="G122" s="75">
        <v>-7.6050000000000004</v>
      </c>
      <c r="H122" s="105">
        <v>-7.1890000000000001</v>
      </c>
      <c r="I122" s="104">
        <v>2.96</v>
      </c>
      <c r="J122" s="75">
        <v>3.21</v>
      </c>
      <c r="K122" s="75">
        <v>3.48</v>
      </c>
      <c r="L122" s="75">
        <v>-4.1440000000000001</v>
      </c>
      <c r="M122" s="75">
        <v>-3.3330000000000002</v>
      </c>
      <c r="N122" s="105">
        <v>-3.968</v>
      </c>
      <c r="O122" s="104">
        <v>19.579999999999998</v>
      </c>
      <c r="P122" s="75">
        <v>19.41</v>
      </c>
      <c r="Q122" s="75">
        <v>19.600000000000001</v>
      </c>
      <c r="R122" s="75">
        <v>-19.18</v>
      </c>
      <c r="S122" s="75">
        <v>-18.37</v>
      </c>
      <c r="T122" s="105">
        <v>-18.86</v>
      </c>
      <c r="U122" s="104">
        <v>19.13</v>
      </c>
      <c r="V122" s="75">
        <v>18.97</v>
      </c>
      <c r="W122" s="75">
        <v>18.940999999999999</v>
      </c>
      <c r="X122" s="75">
        <v>-2.9529999999999998</v>
      </c>
      <c r="Y122" s="75">
        <v>-3.11</v>
      </c>
      <c r="Z122" s="105">
        <v>-3.4660000000000002</v>
      </c>
      <c r="AA122" s="104">
        <v>0.91</v>
      </c>
      <c r="AB122" s="75">
        <v>1.03</v>
      </c>
      <c r="AC122" s="75">
        <v>1.04</v>
      </c>
      <c r="AD122" s="75">
        <v>-2.4860000000000002</v>
      </c>
      <c r="AE122" s="75">
        <v>-2.2719999999999998</v>
      </c>
      <c r="AF122" s="105">
        <v>-0.52400000000000002</v>
      </c>
    </row>
    <row r="123" spans="2:32" x14ac:dyDescent="0.3">
      <c r="B123" s="111">
        <v>19.666666666666668</v>
      </c>
      <c r="C123" s="104">
        <v>2.91</v>
      </c>
      <c r="D123" s="75">
        <v>3.16</v>
      </c>
      <c r="E123" s="75">
        <v>3.51</v>
      </c>
      <c r="F123" s="75">
        <v>-7.3620000000000001</v>
      </c>
      <c r="G123" s="75">
        <v>-6.9909999999999997</v>
      </c>
      <c r="H123" s="105">
        <v>-6.0540000000000003</v>
      </c>
      <c r="I123" s="104">
        <v>2.77</v>
      </c>
      <c r="J123" s="75">
        <v>3.01</v>
      </c>
      <c r="K123" s="75">
        <v>3.35</v>
      </c>
      <c r="L123" s="75">
        <v>-3.6989999999999998</v>
      </c>
      <c r="M123" s="75">
        <v>-2.609</v>
      </c>
      <c r="N123" s="105">
        <v>-4.3719999999999999</v>
      </c>
      <c r="O123" s="104">
        <v>19.399999999999999</v>
      </c>
      <c r="P123" s="75">
        <v>19.23</v>
      </c>
      <c r="Q123" s="75">
        <v>19.43</v>
      </c>
      <c r="R123" s="75">
        <v>-18.34</v>
      </c>
      <c r="S123" s="75">
        <v>-17.66</v>
      </c>
      <c r="T123" s="105">
        <v>-18.2</v>
      </c>
      <c r="U123" s="104">
        <v>18.989999999999998</v>
      </c>
      <c r="V123" s="75">
        <v>18.82</v>
      </c>
      <c r="W123" s="75">
        <v>18.797000000000001</v>
      </c>
      <c r="X123" s="75">
        <v>-2.794</v>
      </c>
      <c r="Y123" s="75">
        <v>-2.9569999999999999</v>
      </c>
      <c r="Z123" s="105">
        <v>-3.4510000000000001</v>
      </c>
      <c r="AA123" s="104">
        <v>0.76</v>
      </c>
      <c r="AB123" s="75">
        <v>0.86</v>
      </c>
      <c r="AC123" s="75">
        <v>0.87</v>
      </c>
      <c r="AD123" s="75">
        <v>-1.6539999999999999</v>
      </c>
      <c r="AE123" s="75">
        <v>-2.3809999999999998</v>
      </c>
      <c r="AF123" s="105">
        <v>1.1080000000000001</v>
      </c>
    </row>
    <row r="124" spans="2:32" x14ac:dyDescent="0.3">
      <c r="B124" s="111">
        <v>19.833333333333336</v>
      </c>
      <c r="C124" s="104">
        <v>2.71</v>
      </c>
      <c r="D124" s="75">
        <v>3</v>
      </c>
      <c r="E124" s="75">
        <v>3.4</v>
      </c>
      <c r="F124" s="75">
        <v>-7.09</v>
      </c>
      <c r="G124" s="75">
        <v>-6.3460000000000001</v>
      </c>
      <c r="H124" s="105">
        <v>-4.9859999999999998</v>
      </c>
      <c r="I124" s="104">
        <v>2.59</v>
      </c>
      <c r="J124" s="75">
        <v>2.85</v>
      </c>
      <c r="K124" s="75">
        <v>3.24</v>
      </c>
      <c r="L124" s="75">
        <v>-4.0720000000000001</v>
      </c>
      <c r="M124" s="75">
        <v>-2.9409999999999998</v>
      </c>
      <c r="N124" s="105">
        <v>-3.3210000000000002</v>
      </c>
      <c r="O124" s="104">
        <v>19.239999999999998</v>
      </c>
      <c r="P124" s="75">
        <v>19.059999999999999</v>
      </c>
      <c r="Q124" s="75">
        <v>19.25</v>
      </c>
      <c r="R124" s="75">
        <v>-17.45</v>
      </c>
      <c r="S124" s="75">
        <v>-16.91</v>
      </c>
      <c r="T124" s="105">
        <v>-17.77</v>
      </c>
      <c r="U124" s="104">
        <v>18.86</v>
      </c>
      <c r="V124" s="75">
        <v>18.690000000000001</v>
      </c>
      <c r="W124" s="75">
        <v>18.654</v>
      </c>
      <c r="X124" s="75">
        <v>-2.5990000000000002</v>
      </c>
      <c r="Y124" s="75">
        <v>-2.952</v>
      </c>
      <c r="Z124" s="105">
        <v>-3.9649999999999999</v>
      </c>
      <c r="AA124" s="104">
        <v>0.6</v>
      </c>
      <c r="AB124" s="75">
        <v>0.72</v>
      </c>
      <c r="AC124" s="75">
        <v>0.73</v>
      </c>
      <c r="AD124" s="75">
        <v>-2.512</v>
      </c>
      <c r="AE124" s="75">
        <v>-2.468</v>
      </c>
      <c r="AF124" s="105">
        <v>0.89100000000000001</v>
      </c>
    </row>
    <row r="125" spans="2:32" x14ac:dyDescent="0.3">
      <c r="B125" s="111">
        <v>20.000000000000004</v>
      </c>
      <c r="C125" s="104">
        <v>2.52</v>
      </c>
      <c r="D125" s="75">
        <v>2.88</v>
      </c>
      <c r="E125" s="75">
        <v>3.34</v>
      </c>
      <c r="F125" s="75">
        <v>-7.1820000000000004</v>
      </c>
      <c r="G125" s="75">
        <v>-6.0439999999999996</v>
      </c>
      <c r="H125" s="105">
        <v>-3.9049999999999998</v>
      </c>
      <c r="I125" s="104">
        <v>2.46</v>
      </c>
      <c r="J125" s="75">
        <v>2.73</v>
      </c>
      <c r="K125" s="75">
        <v>3.18</v>
      </c>
      <c r="L125" s="75">
        <v>-4.0359999999999996</v>
      </c>
      <c r="M125" s="75">
        <v>-2.746</v>
      </c>
      <c r="N125" s="105">
        <v>-2.3959999999999999</v>
      </c>
      <c r="O125" s="104">
        <v>19.059999999999999</v>
      </c>
      <c r="P125" s="75">
        <v>18.88</v>
      </c>
      <c r="Q125" s="75">
        <v>19.07</v>
      </c>
      <c r="R125" s="75">
        <v>-16.88</v>
      </c>
      <c r="S125" s="75">
        <v>-16.190000000000001</v>
      </c>
      <c r="T125" s="105">
        <v>-17.02</v>
      </c>
      <c r="U125" s="104">
        <v>18.72</v>
      </c>
      <c r="V125" s="75">
        <v>18.55</v>
      </c>
      <c r="W125" s="75">
        <v>18.510000000000002</v>
      </c>
      <c r="X125" s="75">
        <v>-2.59</v>
      </c>
      <c r="Y125" s="75">
        <v>-2.88</v>
      </c>
      <c r="Z125" s="105">
        <v>-3.4209999999999998</v>
      </c>
      <c r="AA125" s="104">
        <v>0.47</v>
      </c>
      <c r="AB125" s="75">
        <v>0.56999999999999995</v>
      </c>
      <c r="AC125" s="75">
        <v>0.57999999999999996</v>
      </c>
      <c r="AD125" s="75">
        <v>-1.8240000000000001</v>
      </c>
      <c r="AE125" s="75">
        <v>-1.7549999999999999</v>
      </c>
      <c r="AF125" s="105">
        <v>0.65600000000000003</v>
      </c>
    </row>
    <row r="126" spans="2:32" x14ac:dyDescent="0.3">
      <c r="B126" s="111">
        <v>20.166666666666671</v>
      </c>
      <c r="C126" s="104">
        <v>2.25</v>
      </c>
      <c r="D126" s="75">
        <v>2.74</v>
      </c>
      <c r="E126" s="75">
        <v>3.25</v>
      </c>
      <c r="F126" s="75">
        <v>-6.5469999999999997</v>
      </c>
      <c r="G126" s="75">
        <v>-5.056</v>
      </c>
      <c r="H126" s="105">
        <v>-3.8029999999999999</v>
      </c>
      <c r="I126" s="104">
        <v>2.16</v>
      </c>
      <c r="J126" s="75">
        <v>2.6</v>
      </c>
      <c r="K126" s="75">
        <v>3.11</v>
      </c>
      <c r="L126" s="75">
        <v>-4.0270000000000001</v>
      </c>
      <c r="M126" s="75">
        <v>-3.57</v>
      </c>
      <c r="N126" s="105">
        <v>-1.421</v>
      </c>
      <c r="O126" s="104">
        <v>18.89</v>
      </c>
      <c r="P126" s="75">
        <v>18.7</v>
      </c>
      <c r="Q126" s="75">
        <v>18.89</v>
      </c>
      <c r="R126" s="75">
        <v>-16.36</v>
      </c>
      <c r="S126" s="75">
        <v>-15.79</v>
      </c>
      <c r="T126" s="105">
        <v>-16.25</v>
      </c>
      <c r="U126" s="104">
        <v>18.59</v>
      </c>
      <c r="V126" s="75">
        <v>18.399999999999999</v>
      </c>
      <c r="W126" s="75">
        <v>18.36</v>
      </c>
      <c r="X126" s="75">
        <v>-2.802</v>
      </c>
      <c r="Y126" s="75">
        <v>-3.1709999999999998</v>
      </c>
      <c r="Z126" s="105">
        <v>-3.5609999999999999</v>
      </c>
      <c r="AA126" s="104">
        <v>0.05</v>
      </c>
      <c r="AB126" s="75">
        <v>0.56999999999999995</v>
      </c>
      <c r="AC126" s="75">
        <v>0.57999999999999996</v>
      </c>
      <c r="AD126" s="75">
        <v>-1.776</v>
      </c>
      <c r="AE126" s="75">
        <v>-1.9239999999999999</v>
      </c>
      <c r="AF126" s="105">
        <v>-0.33800000000000002</v>
      </c>
    </row>
    <row r="127" spans="2:32" x14ac:dyDescent="0.3">
      <c r="B127" s="111">
        <v>20.333333333333339</v>
      </c>
      <c r="C127" s="104">
        <v>2.0299999999999998</v>
      </c>
      <c r="D127" s="75">
        <v>2.65</v>
      </c>
      <c r="E127" s="75">
        <v>3.2</v>
      </c>
      <c r="F127" s="75">
        <v>-6.2750000000000004</v>
      </c>
      <c r="G127" s="75">
        <v>-4.4109999999999996</v>
      </c>
      <c r="H127" s="105">
        <v>-3.1720000000000002</v>
      </c>
      <c r="I127" s="104">
        <v>1.93</v>
      </c>
      <c r="J127" s="75">
        <v>2.5099999999999998</v>
      </c>
      <c r="K127" s="75">
        <v>3.05</v>
      </c>
      <c r="L127" s="75">
        <v>-3.964</v>
      </c>
      <c r="M127" s="75">
        <v>-2.3540000000000001</v>
      </c>
      <c r="N127" s="105">
        <v>-1.3460000000000001</v>
      </c>
      <c r="O127" s="104">
        <v>18.7</v>
      </c>
      <c r="P127" s="75">
        <v>18.510000000000002</v>
      </c>
      <c r="Q127" s="75">
        <v>18.7</v>
      </c>
      <c r="R127" s="75">
        <v>-15.87</v>
      </c>
      <c r="S127" s="75">
        <v>-15.24</v>
      </c>
      <c r="T127" s="105">
        <v>-15.82</v>
      </c>
      <c r="U127" s="104">
        <v>18.440000000000001</v>
      </c>
      <c r="V127" s="75">
        <v>18.25</v>
      </c>
      <c r="W127" s="75">
        <v>18.21</v>
      </c>
      <c r="X127" s="75">
        <v>-3.0030000000000001</v>
      </c>
      <c r="Y127" s="75">
        <v>-3.194</v>
      </c>
      <c r="Z127" s="105">
        <v>-3.621</v>
      </c>
      <c r="AA127" s="104">
        <v>-0.41</v>
      </c>
      <c r="AB127" s="75">
        <v>0.41</v>
      </c>
      <c r="AC127" s="75">
        <v>0.42</v>
      </c>
      <c r="AD127" s="75">
        <v>-2.0760000000000001</v>
      </c>
      <c r="AE127" s="75">
        <v>-1.601</v>
      </c>
      <c r="AF127" s="105">
        <v>-0.13600000000000001</v>
      </c>
    </row>
    <row r="128" spans="2:32" x14ac:dyDescent="0.3">
      <c r="B128" s="111">
        <v>20.500000000000007</v>
      </c>
      <c r="C128" s="104">
        <v>1.86</v>
      </c>
      <c r="D128" s="75">
        <v>2.56</v>
      </c>
      <c r="E128" s="75">
        <v>3.17</v>
      </c>
      <c r="F128" s="75">
        <v>-6.3520000000000003</v>
      </c>
      <c r="G128" s="75">
        <v>-4.0439999999999996</v>
      </c>
      <c r="H128" s="105">
        <v>-2.5169999999999999</v>
      </c>
      <c r="I128" s="104">
        <v>1.74</v>
      </c>
      <c r="J128" s="75">
        <v>2.42</v>
      </c>
      <c r="K128" s="75">
        <v>3.02</v>
      </c>
      <c r="L128" s="75">
        <v>-3.9289999999999998</v>
      </c>
      <c r="M128" s="75">
        <v>-2.1579999999999999</v>
      </c>
      <c r="N128" s="105">
        <v>-0.78300000000000003</v>
      </c>
      <c r="O128" s="104">
        <v>18.510000000000002</v>
      </c>
      <c r="P128" s="75">
        <v>18.329999999999998</v>
      </c>
      <c r="Q128" s="75">
        <v>18.510000000000002</v>
      </c>
      <c r="R128" s="75">
        <v>-15.33</v>
      </c>
      <c r="S128" s="75">
        <v>-14.36</v>
      </c>
      <c r="T128" s="105">
        <v>-15.17</v>
      </c>
      <c r="U128" s="104">
        <v>18.29</v>
      </c>
      <c r="V128" s="75">
        <v>18.11</v>
      </c>
      <c r="W128" s="75">
        <v>18.07</v>
      </c>
      <c r="X128" s="75">
        <v>-3.0019999999999998</v>
      </c>
      <c r="Y128" s="75">
        <v>-2.9319999999999999</v>
      </c>
      <c r="Z128" s="105">
        <v>-3.2559999999999998</v>
      </c>
      <c r="AA128" s="104">
        <v>-0.82</v>
      </c>
      <c r="AB128" s="75">
        <v>0.17</v>
      </c>
      <c r="AC128" s="75">
        <v>0.17</v>
      </c>
      <c r="AD128" s="75">
        <v>-1.681</v>
      </c>
      <c r="AE128" s="75">
        <v>-2.2629999999999999</v>
      </c>
      <c r="AF128" s="105">
        <v>0.39</v>
      </c>
    </row>
    <row r="129" spans="2:32" x14ac:dyDescent="0.3">
      <c r="B129" s="111">
        <v>20.666666666666675</v>
      </c>
      <c r="C129" s="104">
        <v>1.72</v>
      </c>
      <c r="D129" s="75">
        <v>2.48</v>
      </c>
      <c r="E129" s="75">
        <v>3.14</v>
      </c>
      <c r="F129" s="75">
        <v>-5.7320000000000002</v>
      </c>
      <c r="G129" s="75">
        <v>-3.9180000000000001</v>
      </c>
      <c r="H129" s="105">
        <v>-2.3889999999999998</v>
      </c>
      <c r="I129" s="104">
        <v>1.6</v>
      </c>
      <c r="J129" s="75">
        <v>2.34</v>
      </c>
      <c r="K129" s="75">
        <v>2.99</v>
      </c>
      <c r="L129" s="75">
        <v>-3.6280000000000001</v>
      </c>
      <c r="M129" s="75">
        <v>-1.796</v>
      </c>
      <c r="N129" s="105">
        <v>-0.20599999999999999</v>
      </c>
      <c r="O129" s="104">
        <v>18.32</v>
      </c>
      <c r="P129" s="75">
        <v>18.164999999999999</v>
      </c>
      <c r="Q129" s="75">
        <v>18.34</v>
      </c>
      <c r="R129" s="75">
        <v>-14.75</v>
      </c>
      <c r="S129" s="75">
        <v>-13.77</v>
      </c>
      <c r="T129" s="105">
        <v>-14.23</v>
      </c>
      <c r="U129" s="104">
        <v>18.14</v>
      </c>
      <c r="V129" s="75">
        <v>17.97</v>
      </c>
      <c r="W129" s="75">
        <v>17.93</v>
      </c>
      <c r="X129" s="75">
        <v>-3.032</v>
      </c>
      <c r="Y129" s="75">
        <v>-2.87</v>
      </c>
      <c r="Z129" s="105">
        <v>-3.153</v>
      </c>
      <c r="AA129" s="104">
        <v>-1.1499999999999999</v>
      </c>
      <c r="AB129" s="75">
        <v>-0.11</v>
      </c>
      <c r="AC129" s="75">
        <v>-0.11</v>
      </c>
      <c r="AD129" s="75">
        <v>-1.7050000000000001</v>
      </c>
      <c r="AE129" s="75">
        <v>-2.48</v>
      </c>
      <c r="AF129" s="105">
        <v>0.59099999999999997</v>
      </c>
    </row>
    <row r="130" spans="2:32" x14ac:dyDescent="0.3">
      <c r="B130" s="111">
        <v>20.833333333333343</v>
      </c>
      <c r="C130" s="104">
        <v>1.62</v>
      </c>
      <c r="D130" s="75">
        <v>2.41</v>
      </c>
      <c r="E130" s="75">
        <v>3.08</v>
      </c>
      <c r="F130" s="75">
        <v>-4.1139999999999999</v>
      </c>
      <c r="G130" s="75">
        <v>-3.6960000000000002</v>
      </c>
      <c r="H130" s="105">
        <v>-2.762</v>
      </c>
      <c r="I130" s="104">
        <v>1.5</v>
      </c>
      <c r="J130" s="75">
        <v>2.2799999999999998</v>
      </c>
      <c r="K130" s="75">
        <v>2.95</v>
      </c>
      <c r="L130" s="75">
        <v>-3.8570000000000002</v>
      </c>
      <c r="M130" s="75">
        <v>-1.669</v>
      </c>
      <c r="N130" s="105">
        <v>3.5999999999999997E-2</v>
      </c>
      <c r="O130" s="104">
        <v>18.14</v>
      </c>
      <c r="P130" s="75">
        <v>18</v>
      </c>
      <c r="Q130" s="75">
        <v>18.16</v>
      </c>
      <c r="R130" s="75">
        <v>-14.11</v>
      </c>
      <c r="S130" s="75">
        <v>-13.13</v>
      </c>
      <c r="T130" s="105">
        <v>-13.6</v>
      </c>
      <c r="U130" s="104">
        <v>17.989999999999998</v>
      </c>
      <c r="V130" s="75">
        <v>17.829999999999998</v>
      </c>
      <c r="W130" s="75">
        <v>17.79</v>
      </c>
      <c r="X130" s="75">
        <v>-3.0030000000000001</v>
      </c>
      <c r="Y130" s="75">
        <v>-2.8330000000000002</v>
      </c>
      <c r="Z130" s="105">
        <v>-3.1779999999999999</v>
      </c>
      <c r="AA130" s="104">
        <v>-1.37</v>
      </c>
      <c r="AB130" s="75">
        <v>-0.32</v>
      </c>
      <c r="AC130" s="75">
        <v>-0.32</v>
      </c>
      <c r="AD130" s="75">
        <v>-1.585</v>
      </c>
      <c r="AE130" s="75">
        <v>-2.601</v>
      </c>
      <c r="AF130" s="105">
        <v>2.238</v>
      </c>
    </row>
    <row r="131" spans="2:32" x14ac:dyDescent="0.3">
      <c r="B131" s="111">
        <v>21.000000000000011</v>
      </c>
      <c r="C131" s="104">
        <v>1.58</v>
      </c>
      <c r="D131" s="75">
        <v>2.3199999999999998</v>
      </c>
      <c r="E131" s="75">
        <v>3.06</v>
      </c>
      <c r="F131" s="75">
        <v>-3.077</v>
      </c>
      <c r="G131" s="75">
        <v>-3.8839999999999999</v>
      </c>
      <c r="H131" s="105">
        <v>-2.3559999999999999</v>
      </c>
      <c r="I131" s="104">
        <v>1.44</v>
      </c>
      <c r="J131" s="75">
        <v>2.19</v>
      </c>
      <c r="K131" s="75">
        <v>2.92</v>
      </c>
      <c r="L131" s="75">
        <v>-2.2090000000000001</v>
      </c>
      <c r="M131" s="75">
        <v>-1.43</v>
      </c>
      <c r="N131" s="105">
        <v>-0.56699999999999995</v>
      </c>
      <c r="O131" s="104">
        <v>17.96</v>
      </c>
      <c r="P131" s="75">
        <v>17.835000000000001</v>
      </c>
      <c r="Q131" s="75">
        <v>17.98</v>
      </c>
      <c r="R131" s="75">
        <v>-13.41</v>
      </c>
      <c r="S131" s="75">
        <v>-12.49</v>
      </c>
      <c r="T131" s="105">
        <v>-13.01</v>
      </c>
      <c r="U131" s="104">
        <v>17.84</v>
      </c>
      <c r="V131" s="75">
        <v>17.690000000000001</v>
      </c>
      <c r="W131" s="75">
        <v>17.649999999999999</v>
      </c>
      <c r="X131" s="75">
        <v>-2.8570000000000002</v>
      </c>
      <c r="Y131" s="75">
        <v>-2.6970000000000001</v>
      </c>
      <c r="Z131" s="105">
        <v>-3.0249999999999999</v>
      </c>
      <c r="AA131" s="104">
        <v>-1.53</v>
      </c>
      <c r="AB131" s="75">
        <v>-0.52</v>
      </c>
      <c r="AC131" s="75">
        <v>-0.53</v>
      </c>
      <c r="AD131" s="75">
        <v>-1.627</v>
      </c>
      <c r="AE131" s="75">
        <v>-2.88</v>
      </c>
      <c r="AF131" s="105">
        <v>3.4140000000000001</v>
      </c>
    </row>
    <row r="132" spans="2:32" x14ac:dyDescent="0.3">
      <c r="B132" s="111">
        <v>21.166666666666679</v>
      </c>
      <c r="C132" s="104">
        <v>1.54</v>
      </c>
      <c r="D132" s="75">
        <v>2.25</v>
      </c>
      <c r="E132" s="75">
        <v>3.04</v>
      </c>
      <c r="F132" s="75">
        <v>-2.4550000000000001</v>
      </c>
      <c r="G132" s="75">
        <v>-3.4420000000000002</v>
      </c>
      <c r="H132" s="105">
        <v>-1.909</v>
      </c>
      <c r="I132" s="104">
        <v>1.41</v>
      </c>
      <c r="J132" s="75">
        <v>2.12</v>
      </c>
      <c r="K132" s="75">
        <v>2.9</v>
      </c>
      <c r="L132" s="75">
        <v>-0.89</v>
      </c>
      <c r="M132" s="75">
        <v>-1.649</v>
      </c>
      <c r="N132" s="105">
        <v>-9.0999999999999998E-2</v>
      </c>
      <c r="O132" s="104">
        <v>17.79</v>
      </c>
      <c r="P132" s="75">
        <v>17.669</v>
      </c>
      <c r="Q132" s="75">
        <v>17.809999999999999</v>
      </c>
      <c r="R132" s="75">
        <v>-12.52</v>
      </c>
      <c r="S132" s="75">
        <v>-11.9</v>
      </c>
      <c r="T132" s="105">
        <v>-12.29</v>
      </c>
      <c r="U132" s="104">
        <v>17.7</v>
      </c>
      <c r="V132" s="75">
        <v>17.55</v>
      </c>
      <c r="W132" s="75">
        <v>17.510000000000002</v>
      </c>
      <c r="X132" s="75">
        <v>-2.4470000000000001</v>
      </c>
      <c r="Y132" s="75">
        <v>-2.66</v>
      </c>
      <c r="Z132" s="105">
        <v>-2.9830000000000001</v>
      </c>
      <c r="AA132" s="104">
        <v>-1.64</v>
      </c>
      <c r="AB132" s="75">
        <v>-0.69</v>
      </c>
      <c r="AC132" s="75">
        <v>-0.7</v>
      </c>
      <c r="AD132" s="75">
        <v>-0.27900000000000003</v>
      </c>
      <c r="AE132" s="75">
        <v>-2.6819999999999999</v>
      </c>
      <c r="AF132" s="105">
        <v>2.9750000000000001</v>
      </c>
    </row>
    <row r="133" spans="2:32" x14ac:dyDescent="0.3">
      <c r="B133" s="111">
        <v>21.333333333333346</v>
      </c>
      <c r="C133" s="104">
        <v>1.52</v>
      </c>
      <c r="D133" s="75">
        <v>2.19</v>
      </c>
      <c r="E133" s="75">
        <v>3.02</v>
      </c>
      <c r="F133" s="75">
        <v>-1.9970000000000001</v>
      </c>
      <c r="G133" s="75">
        <v>-3.2069999999999999</v>
      </c>
      <c r="H133" s="105">
        <v>-1.609</v>
      </c>
      <c r="I133" s="104">
        <v>1.38</v>
      </c>
      <c r="J133" s="75">
        <v>2.06</v>
      </c>
      <c r="K133" s="75">
        <v>2.88</v>
      </c>
      <c r="L133" s="75">
        <v>-0.40699999999999997</v>
      </c>
      <c r="M133" s="75">
        <v>-1.2190000000000001</v>
      </c>
      <c r="N133" s="105">
        <v>5.7000000000000002E-2</v>
      </c>
      <c r="O133" s="104">
        <v>17.62</v>
      </c>
      <c r="P133" s="75">
        <v>17.504000000000001</v>
      </c>
      <c r="Q133" s="75">
        <v>17.63</v>
      </c>
      <c r="R133" s="75">
        <v>-12</v>
      </c>
      <c r="S133" s="75">
        <v>-11.14</v>
      </c>
      <c r="T133" s="105">
        <v>-11.69</v>
      </c>
      <c r="U133" s="104">
        <v>17.559999999999999</v>
      </c>
      <c r="V133" s="75">
        <v>17.41</v>
      </c>
      <c r="W133" s="75">
        <v>17.38</v>
      </c>
      <c r="X133" s="75">
        <v>-2.4580000000000002</v>
      </c>
      <c r="Y133" s="75">
        <v>-2.399</v>
      </c>
      <c r="Z133" s="105">
        <v>-3.0739999999999998</v>
      </c>
      <c r="AA133" s="104">
        <v>-1.71</v>
      </c>
      <c r="AB133" s="75">
        <v>-0.82</v>
      </c>
      <c r="AC133" s="75">
        <v>-0.83</v>
      </c>
      <c r="AD133" s="75">
        <v>0.61399999999999999</v>
      </c>
      <c r="AE133" s="75">
        <v>-1.39</v>
      </c>
      <c r="AF133" s="105">
        <v>2.496</v>
      </c>
    </row>
    <row r="134" spans="2:32" x14ac:dyDescent="0.3">
      <c r="B134" s="111">
        <v>21.500000000000014</v>
      </c>
      <c r="C134" s="104">
        <v>1.5</v>
      </c>
      <c r="D134" s="75">
        <v>2.15</v>
      </c>
      <c r="E134" s="75">
        <v>2.98</v>
      </c>
      <c r="F134" s="75">
        <v>-1.8959999999999999</v>
      </c>
      <c r="G134" s="75">
        <v>-2.6819999999999999</v>
      </c>
      <c r="H134" s="105">
        <v>-1.978</v>
      </c>
      <c r="I134" s="104">
        <v>1.36</v>
      </c>
      <c r="J134" s="75">
        <v>2.0099999999999998</v>
      </c>
      <c r="K134" s="75">
        <v>2.84</v>
      </c>
      <c r="L134" s="75">
        <v>-8.0000000000000002E-3</v>
      </c>
      <c r="M134" s="75">
        <v>-1.0980000000000001</v>
      </c>
      <c r="N134" s="105">
        <v>-2.1000000000000001E-2</v>
      </c>
      <c r="O134" s="104">
        <v>17.46</v>
      </c>
      <c r="P134" s="75">
        <v>17.335999999999999</v>
      </c>
      <c r="Q134" s="75">
        <v>17.47</v>
      </c>
      <c r="R134" s="75">
        <v>-11.36</v>
      </c>
      <c r="S134" s="75">
        <v>-10.8</v>
      </c>
      <c r="T134" s="105">
        <v>-11.23</v>
      </c>
      <c r="U134" s="104">
        <v>17.420000000000002</v>
      </c>
      <c r="V134" s="75">
        <v>17.28</v>
      </c>
      <c r="W134" s="75">
        <v>17.23</v>
      </c>
      <c r="X134" s="75">
        <v>-2.2080000000000002</v>
      </c>
      <c r="Y134" s="75">
        <v>-2.5590000000000002</v>
      </c>
      <c r="Z134" s="105">
        <v>-3.22</v>
      </c>
      <c r="AA134" s="104">
        <v>-1.74</v>
      </c>
      <c r="AB134" s="75">
        <v>-0.93</v>
      </c>
      <c r="AC134" s="75">
        <v>-0.94</v>
      </c>
      <c r="AD134" s="75">
        <v>1.4239999999999999</v>
      </c>
      <c r="AE134" s="75">
        <v>-1.337</v>
      </c>
      <c r="AF134" s="105">
        <v>1.861</v>
      </c>
    </row>
    <row r="135" spans="2:32" x14ac:dyDescent="0.3">
      <c r="B135" s="111">
        <v>21.666666666666682</v>
      </c>
      <c r="C135" s="104">
        <v>1.49</v>
      </c>
      <c r="D135" s="75">
        <v>2.13</v>
      </c>
      <c r="E135" s="75">
        <v>2.94</v>
      </c>
      <c r="F135" s="75">
        <v>-1.671</v>
      </c>
      <c r="G135" s="75">
        <v>-2.1579999999999999</v>
      </c>
      <c r="H135" s="105">
        <v>-2.012</v>
      </c>
      <c r="I135" s="104">
        <v>1.36</v>
      </c>
      <c r="J135" s="75">
        <v>1.99</v>
      </c>
      <c r="K135" s="75">
        <v>2.8</v>
      </c>
      <c r="L135" s="75">
        <v>0.16300000000000001</v>
      </c>
      <c r="M135" s="75">
        <v>-0.35899999999999999</v>
      </c>
      <c r="N135" s="105">
        <v>-1E-3</v>
      </c>
      <c r="O135" s="104">
        <v>17.29</v>
      </c>
      <c r="P135" s="75">
        <v>17.172999999999998</v>
      </c>
      <c r="Q135" s="75">
        <v>17.29</v>
      </c>
      <c r="R135" s="75">
        <v>-11.03</v>
      </c>
      <c r="S135" s="75">
        <v>-10.52</v>
      </c>
      <c r="T135" s="105">
        <v>-10.95</v>
      </c>
      <c r="U135" s="104">
        <v>17.28</v>
      </c>
      <c r="V135" s="75">
        <v>17.12</v>
      </c>
      <c r="W135" s="75">
        <v>17.07</v>
      </c>
      <c r="X135" s="75">
        <v>-2.2869999999999999</v>
      </c>
      <c r="Y135" s="75">
        <v>-3.2320000000000002</v>
      </c>
      <c r="Z135" s="105">
        <v>-3.6389999999999998</v>
      </c>
      <c r="AA135" s="104">
        <v>-1.76</v>
      </c>
      <c r="AB135" s="75">
        <v>-1.01</v>
      </c>
      <c r="AC135" s="75">
        <v>-1.03</v>
      </c>
      <c r="AD135" s="75">
        <v>1.518</v>
      </c>
      <c r="AE135" s="75">
        <v>0.13500000000000001</v>
      </c>
      <c r="AF135" s="105">
        <v>2.8039999999999998</v>
      </c>
    </row>
    <row r="136" spans="2:32" x14ac:dyDescent="0.3">
      <c r="B136" s="111">
        <v>21.83333333333335</v>
      </c>
      <c r="C136" s="104">
        <v>1.48</v>
      </c>
      <c r="D136" s="75">
        <v>2.11</v>
      </c>
      <c r="E136" s="75">
        <v>2.89</v>
      </c>
      <c r="F136" s="75">
        <v>-1.254</v>
      </c>
      <c r="G136" s="75">
        <v>-1.9359999999999999</v>
      </c>
      <c r="H136" s="105">
        <v>-1.5069999999999999</v>
      </c>
      <c r="I136" s="104">
        <v>1.35</v>
      </c>
      <c r="J136" s="75">
        <v>1.97</v>
      </c>
      <c r="K136" s="75">
        <v>2.76</v>
      </c>
      <c r="L136" s="75">
        <v>0.34799999999999998</v>
      </c>
      <c r="M136" s="75">
        <v>0.04</v>
      </c>
      <c r="N136" s="105">
        <v>-0.03</v>
      </c>
      <c r="O136" s="104">
        <v>17.11</v>
      </c>
      <c r="P136" s="75">
        <v>17.007999999999999</v>
      </c>
      <c r="Q136" s="75">
        <v>17.100000000000001</v>
      </c>
      <c r="R136" s="75">
        <v>-10.65</v>
      </c>
      <c r="S136" s="75">
        <v>-10.24</v>
      </c>
      <c r="T136" s="105">
        <v>-10.86</v>
      </c>
      <c r="U136" s="104">
        <v>17.14</v>
      </c>
      <c r="V136" s="75">
        <v>16.96</v>
      </c>
      <c r="W136" s="75">
        <v>16.93</v>
      </c>
      <c r="X136" s="75">
        <v>-2.3450000000000002</v>
      </c>
      <c r="Y136" s="75">
        <v>-4.3109999999999999</v>
      </c>
      <c r="Z136" s="105">
        <v>-4.6909999999999998</v>
      </c>
      <c r="AA136" s="104">
        <v>-1.77</v>
      </c>
      <c r="AB136" s="75">
        <v>-1.1000000000000001</v>
      </c>
      <c r="AC136" s="75">
        <v>-1.1200000000000001</v>
      </c>
      <c r="AD136" s="75">
        <v>1.6439999999999999</v>
      </c>
      <c r="AE136" s="75">
        <v>0.76300000000000001</v>
      </c>
      <c r="AF136" s="105">
        <v>2.093</v>
      </c>
    </row>
    <row r="137" spans="2:32" x14ac:dyDescent="0.3">
      <c r="B137" s="111">
        <v>22.000000000000018</v>
      </c>
      <c r="C137" s="104">
        <v>1.48</v>
      </c>
      <c r="D137" s="75">
        <v>2.1</v>
      </c>
      <c r="E137" s="75">
        <v>2.86</v>
      </c>
      <c r="F137" s="75">
        <v>-1.6479999999999999</v>
      </c>
      <c r="G137" s="75">
        <v>-1.671</v>
      </c>
      <c r="H137" s="105">
        <v>-2.081</v>
      </c>
      <c r="I137" s="104">
        <v>1.34</v>
      </c>
      <c r="J137" s="75">
        <v>1.96</v>
      </c>
      <c r="K137" s="75">
        <v>2.77</v>
      </c>
      <c r="L137" s="75">
        <v>-0.41799999999999998</v>
      </c>
      <c r="M137" s="75">
        <v>0.437</v>
      </c>
      <c r="N137" s="105">
        <v>5.8999999999999997E-2</v>
      </c>
      <c r="O137" s="104">
        <v>16.940000000000001</v>
      </c>
      <c r="P137" s="75">
        <v>16.838999999999999</v>
      </c>
      <c r="Q137" s="75">
        <v>16.93</v>
      </c>
      <c r="R137" s="75">
        <v>-10.29</v>
      </c>
      <c r="S137" s="75">
        <v>-9.81</v>
      </c>
      <c r="T137" s="105">
        <v>-10.029999999999999</v>
      </c>
      <c r="U137" s="104">
        <v>17</v>
      </c>
      <c r="V137" s="75">
        <v>16.84</v>
      </c>
      <c r="W137" s="75">
        <v>16.87</v>
      </c>
      <c r="X137" s="75">
        <v>-2.7389999999999999</v>
      </c>
      <c r="Y137" s="75">
        <v>-14.17</v>
      </c>
      <c r="Z137" s="105">
        <v>-17.190000000000001</v>
      </c>
      <c r="AA137" s="104">
        <v>-1.77</v>
      </c>
      <c r="AB137" s="75">
        <v>-1.17</v>
      </c>
      <c r="AC137" s="75">
        <v>-1.19</v>
      </c>
      <c r="AD137" s="75">
        <v>1.6859999999999999</v>
      </c>
      <c r="AE137" s="75">
        <v>0.41599999999999998</v>
      </c>
      <c r="AF137" s="105">
        <v>2.74</v>
      </c>
    </row>
    <row r="138" spans="2:32" x14ac:dyDescent="0.3">
      <c r="B138" s="111">
        <v>22.166666666666686</v>
      </c>
      <c r="C138" s="104">
        <v>1.59</v>
      </c>
      <c r="D138" s="75">
        <v>2.16</v>
      </c>
      <c r="E138" s="75">
        <v>2.91</v>
      </c>
      <c r="F138" s="75">
        <v>-1.637</v>
      </c>
      <c r="G138" s="75">
        <v>-1.306</v>
      </c>
      <c r="H138" s="105">
        <v>-2.1160000000000001</v>
      </c>
      <c r="I138" s="104">
        <v>1.41</v>
      </c>
      <c r="J138" s="75">
        <v>2.0499999999999998</v>
      </c>
      <c r="K138" s="75">
        <v>2.78</v>
      </c>
      <c r="L138" s="75">
        <v>0.33</v>
      </c>
      <c r="M138" s="75">
        <v>0.79500000000000004</v>
      </c>
      <c r="N138" s="105">
        <v>-8.7999999999999995E-2</v>
      </c>
      <c r="O138" s="104">
        <v>16.77</v>
      </c>
      <c r="P138" s="75">
        <v>16.678000000000001</v>
      </c>
      <c r="Q138" s="75">
        <v>16.760000000000002</v>
      </c>
      <c r="R138" s="75">
        <v>-10.029999999999999</v>
      </c>
      <c r="S138" s="75">
        <v>-9.33</v>
      </c>
      <c r="T138" s="105">
        <v>-9.74</v>
      </c>
      <c r="U138" s="104">
        <v>16.88</v>
      </c>
      <c r="V138" s="75">
        <v>17.079999999999998</v>
      </c>
      <c r="W138" s="75">
        <v>17.329999999999998</v>
      </c>
      <c r="X138" s="75">
        <v>-8.7799999999999994</v>
      </c>
      <c r="Y138" s="75">
        <v>-21.85</v>
      </c>
      <c r="Z138" s="105">
        <v>-22.51</v>
      </c>
      <c r="AA138" s="104">
        <v>-1.76</v>
      </c>
      <c r="AB138" s="75">
        <v>-1.19</v>
      </c>
      <c r="AC138" s="75">
        <v>-1.21</v>
      </c>
      <c r="AD138" s="75">
        <v>1.827</v>
      </c>
      <c r="AE138" s="75">
        <v>1.496</v>
      </c>
      <c r="AF138" s="105">
        <v>1.86</v>
      </c>
    </row>
    <row r="139" spans="2:32" x14ac:dyDescent="0.3">
      <c r="B139" s="111">
        <v>22.333333333333353</v>
      </c>
      <c r="C139" s="104">
        <v>1.69</v>
      </c>
      <c r="D139" s="75">
        <v>2.23</v>
      </c>
      <c r="E139" s="75">
        <v>2.92</v>
      </c>
      <c r="F139" s="75">
        <v>-1.6970000000000001</v>
      </c>
      <c r="G139" s="75">
        <v>-1.7130000000000001</v>
      </c>
      <c r="H139" s="105">
        <v>-2.1709999999999998</v>
      </c>
      <c r="I139" s="104">
        <v>1.55</v>
      </c>
      <c r="J139" s="75">
        <v>2.09</v>
      </c>
      <c r="K139" s="75">
        <v>2.79</v>
      </c>
      <c r="L139" s="75">
        <v>0.32</v>
      </c>
      <c r="M139" s="75">
        <v>1.3160000000000001</v>
      </c>
      <c r="N139" s="105">
        <v>-0.11700000000000001</v>
      </c>
      <c r="O139" s="104">
        <v>16.61</v>
      </c>
      <c r="P139" s="75">
        <v>16.512</v>
      </c>
      <c r="Q139" s="75">
        <v>16.600000000000001</v>
      </c>
      <c r="R139" s="75">
        <v>-9.27</v>
      </c>
      <c r="S139" s="75">
        <v>-8.8000000000000007</v>
      </c>
      <c r="T139" s="105">
        <v>-9.2100000000000009</v>
      </c>
      <c r="U139" s="104">
        <v>17.100000000000001</v>
      </c>
      <c r="V139" s="75">
        <v>17.45</v>
      </c>
      <c r="W139" s="75">
        <v>17.46</v>
      </c>
      <c r="X139" s="75">
        <v>-19.37</v>
      </c>
      <c r="Y139" s="75">
        <v>-23.405999999999999</v>
      </c>
      <c r="Z139" s="105">
        <v>-24.343</v>
      </c>
      <c r="AA139" s="104">
        <v>-1.77</v>
      </c>
      <c r="AB139" s="75">
        <v>-1.22</v>
      </c>
      <c r="AC139" s="75">
        <v>-1.24</v>
      </c>
      <c r="AD139" s="75">
        <v>2.1469999999999998</v>
      </c>
      <c r="AE139" s="75">
        <v>1.379</v>
      </c>
      <c r="AF139" s="105">
        <v>2.6760000000000002</v>
      </c>
    </row>
    <row r="140" spans="2:32" x14ac:dyDescent="0.3">
      <c r="B140" s="111">
        <v>22.500000000000021</v>
      </c>
      <c r="C140" s="104">
        <v>1.8</v>
      </c>
      <c r="D140" s="75">
        <v>2.29</v>
      </c>
      <c r="E140" s="75">
        <v>2.98</v>
      </c>
      <c r="F140" s="75">
        <v>-1.6140000000000001</v>
      </c>
      <c r="G140" s="75">
        <v>-1.734</v>
      </c>
      <c r="H140" s="105">
        <v>-2.1850000000000001</v>
      </c>
      <c r="I140" s="104">
        <v>1.65</v>
      </c>
      <c r="J140" s="75">
        <v>2.15</v>
      </c>
      <c r="K140" s="75">
        <v>2.84</v>
      </c>
      <c r="L140" s="75">
        <v>1.0660000000000001</v>
      </c>
      <c r="M140" s="75">
        <v>0.62</v>
      </c>
      <c r="N140" s="105">
        <v>-0.39900000000000002</v>
      </c>
      <c r="O140" s="104">
        <v>16.46</v>
      </c>
      <c r="P140" s="75">
        <v>16.344999999999999</v>
      </c>
      <c r="Q140" s="75">
        <v>16.420000000000002</v>
      </c>
      <c r="R140" s="75">
        <v>-8.9</v>
      </c>
      <c r="S140" s="75">
        <v>-8.5500000000000007</v>
      </c>
      <c r="T140" s="105">
        <v>-9</v>
      </c>
      <c r="U140" s="104">
        <v>17.48</v>
      </c>
      <c r="V140" s="75">
        <v>17.47</v>
      </c>
      <c r="W140" s="75">
        <v>17.440000000000001</v>
      </c>
      <c r="X140" s="75">
        <v>-20.83</v>
      </c>
      <c r="Y140" s="75">
        <v>-24.962</v>
      </c>
      <c r="Z140" s="105">
        <v>-26.177</v>
      </c>
      <c r="AA140" s="104">
        <v>-1.76</v>
      </c>
      <c r="AB140" s="75">
        <v>-1.25</v>
      </c>
      <c r="AC140" s="75">
        <v>-1.27</v>
      </c>
      <c r="AD140" s="75">
        <v>2.1339999999999999</v>
      </c>
      <c r="AE140" s="75">
        <v>1.2110000000000001</v>
      </c>
      <c r="AF140" s="105">
        <v>2.5459999999999998</v>
      </c>
    </row>
    <row r="141" spans="2:32" x14ac:dyDescent="0.3">
      <c r="B141" s="111">
        <v>22.666666666666689</v>
      </c>
      <c r="C141" s="104">
        <v>1.93</v>
      </c>
      <c r="D141" s="75">
        <v>2.2999999999999998</v>
      </c>
      <c r="E141" s="75">
        <v>2.95</v>
      </c>
      <c r="F141" s="75">
        <v>-1.6020000000000001</v>
      </c>
      <c r="G141" s="75">
        <v>-1.9890000000000001</v>
      </c>
      <c r="H141" s="105">
        <v>-2.2189999999999999</v>
      </c>
      <c r="I141" s="104">
        <v>1.78</v>
      </c>
      <c r="J141" s="75">
        <v>2.14</v>
      </c>
      <c r="K141" s="75">
        <v>2.81</v>
      </c>
      <c r="L141" s="75">
        <v>0.30199999999999999</v>
      </c>
      <c r="M141" s="75">
        <v>0.53200000000000003</v>
      </c>
      <c r="N141" s="105">
        <v>-0.17499999999999999</v>
      </c>
      <c r="O141" s="104">
        <v>16.3</v>
      </c>
      <c r="P141" s="75">
        <v>16.181999999999999</v>
      </c>
      <c r="Q141" s="75">
        <v>16.28</v>
      </c>
      <c r="R141" s="75">
        <v>-8.59</v>
      </c>
      <c r="S141" s="75">
        <v>-8.43</v>
      </c>
      <c r="T141" s="105">
        <v>-8.32</v>
      </c>
      <c r="U141" s="104">
        <v>17.48</v>
      </c>
      <c r="V141" s="75">
        <v>17.48</v>
      </c>
      <c r="W141" s="75">
        <v>17.38</v>
      </c>
      <c r="X141" s="75">
        <v>-22.67</v>
      </c>
      <c r="Y141" s="75">
        <v>-26.341000000000001</v>
      </c>
      <c r="Z141" s="105">
        <v>-28.393999999999998</v>
      </c>
      <c r="AA141" s="104">
        <v>-1.76</v>
      </c>
      <c r="AB141" s="75">
        <v>-1.27</v>
      </c>
      <c r="AC141" s="75">
        <v>-1.29</v>
      </c>
      <c r="AD141" s="75">
        <v>2.5110000000000001</v>
      </c>
      <c r="AE141" s="75">
        <v>1.89</v>
      </c>
      <c r="AF141" s="105">
        <v>3.4249999999999998</v>
      </c>
    </row>
    <row r="142" spans="2:32" x14ac:dyDescent="0.3">
      <c r="B142" s="111">
        <v>22.833333333333357</v>
      </c>
      <c r="C142" s="104">
        <v>2.0099999999999998</v>
      </c>
      <c r="D142" s="75">
        <v>2.42</v>
      </c>
      <c r="E142" s="75">
        <v>2.95</v>
      </c>
      <c r="F142" s="75">
        <v>-1.6</v>
      </c>
      <c r="G142" s="75">
        <v>-1.7749999999999999</v>
      </c>
      <c r="H142" s="105">
        <v>-2.2759999999999998</v>
      </c>
      <c r="I142" s="104">
        <v>1.86</v>
      </c>
      <c r="J142" s="75">
        <v>2.27</v>
      </c>
      <c r="K142" s="75">
        <v>2.81</v>
      </c>
      <c r="L142" s="75">
        <v>0.29299999999999998</v>
      </c>
      <c r="M142" s="75">
        <v>0.55100000000000005</v>
      </c>
      <c r="N142" s="105">
        <v>-0.20399999999999999</v>
      </c>
      <c r="O142" s="104">
        <v>16.14</v>
      </c>
      <c r="P142" s="75">
        <v>16.016999999999999</v>
      </c>
      <c r="Q142" s="75">
        <v>16.11</v>
      </c>
      <c r="R142" s="75">
        <v>-8.5299999999999994</v>
      </c>
      <c r="S142" s="75">
        <v>-8.3000000000000007</v>
      </c>
      <c r="T142" s="105">
        <v>-8.39</v>
      </c>
      <c r="U142" s="104">
        <v>17.440000000000001</v>
      </c>
      <c r="V142" s="75">
        <v>17.420000000000002</v>
      </c>
      <c r="W142" s="75">
        <v>17.32</v>
      </c>
      <c r="X142" s="75">
        <v>-24.457000000000001</v>
      </c>
      <c r="Y142" s="75">
        <v>-28.074000000000002</v>
      </c>
      <c r="Z142" s="105">
        <v>-30.18</v>
      </c>
      <c r="AA142" s="104">
        <v>-1.75</v>
      </c>
      <c r="AB142" s="75">
        <v>-1.29</v>
      </c>
      <c r="AC142" s="75">
        <v>-1.32</v>
      </c>
      <c r="AD142" s="75">
        <v>2.8679999999999999</v>
      </c>
      <c r="AE142" s="75">
        <v>1.8220000000000001</v>
      </c>
      <c r="AF142" s="105">
        <v>2.8969999999999998</v>
      </c>
    </row>
    <row r="143" spans="2:32" x14ac:dyDescent="0.3">
      <c r="B143" s="111">
        <v>23.000000000000025</v>
      </c>
      <c r="C143" s="104">
        <v>2.12</v>
      </c>
      <c r="D143" s="75">
        <v>2.5099999999999998</v>
      </c>
      <c r="E143" s="75">
        <v>2.97</v>
      </c>
      <c r="F143" s="75">
        <v>-1.579</v>
      </c>
      <c r="G143" s="75">
        <v>-1.796</v>
      </c>
      <c r="H143" s="105">
        <v>-2.2879999999999998</v>
      </c>
      <c r="I143" s="104">
        <v>1.96</v>
      </c>
      <c r="J143" s="75">
        <v>2.3199999999999998</v>
      </c>
      <c r="K143" s="75">
        <v>2.83</v>
      </c>
      <c r="L143" s="75">
        <v>0.34399999999999997</v>
      </c>
      <c r="M143" s="75">
        <v>0.35699999999999998</v>
      </c>
      <c r="N143" s="105">
        <v>-0.434</v>
      </c>
      <c r="O143" s="104">
        <v>15.96</v>
      </c>
      <c r="P143" s="75">
        <v>15.849</v>
      </c>
      <c r="Q143" s="75">
        <v>15.93</v>
      </c>
      <c r="R143" s="75">
        <v>-8.7899999999999991</v>
      </c>
      <c r="S143" s="75">
        <v>-8.27</v>
      </c>
      <c r="T143" s="105">
        <v>-8.4499999999999993</v>
      </c>
      <c r="U143" s="104">
        <v>17.38</v>
      </c>
      <c r="V143" s="75">
        <v>17.34</v>
      </c>
      <c r="W143" s="75">
        <v>17.260000000000002</v>
      </c>
      <c r="X143" s="75">
        <v>-26.242999999999999</v>
      </c>
      <c r="Y143" s="75">
        <v>-29.63</v>
      </c>
      <c r="Z143" s="105">
        <v>-31.84</v>
      </c>
      <c r="AA143" s="104">
        <v>-1.76</v>
      </c>
      <c r="AB143" s="75">
        <v>-1.27</v>
      </c>
      <c r="AC143" s="75">
        <v>-1.29</v>
      </c>
      <c r="AD143" s="75">
        <v>2.9260000000000002</v>
      </c>
      <c r="AE143" s="75">
        <v>1.409</v>
      </c>
      <c r="AF143" s="105">
        <v>2.9020000000000001</v>
      </c>
    </row>
    <row r="144" spans="2:32" x14ac:dyDescent="0.3">
      <c r="B144" s="111">
        <v>23.166666666666693</v>
      </c>
      <c r="C144" s="104">
        <v>2.19</v>
      </c>
      <c r="D144" s="75">
        <v>2.5499999999999998</v>
      </c>
      <c r="E144" s="75">
        <v>2.98</v>
      </c>
      <c r="F144" s="75">
        <v>-0.26700000000000002</v>
      </c>
      <c r="G144" s="75">
        <v>-1.6539999999999999</v>
      </c>
      <c r="H144" s="105">
        <v>-2.323</v>
      </c>
      <c r="I144" s="104">
        <v>2.1</v>
      </c>
      <c r="J144" s="75">
        <v>2.4</v>
      </c>
      <c r="K144" s="75">
        <v>2.84</v>
      </c>
      <c r="L144" s="75">
        <v>0.27400000000000002</v>
      </c>
      <c r="M144" s="75">
        <v>0.26900000000000002</v>
      </c>
      <c r="N144" s="105">
        <v>-0.26200000000000001</v>
      </c>
      <c r="O144" s="104">
        <v>15.8</v>
      </c>
      <c r="P144" s="75">
        <v>15.686</v>
      </c>
      <c r="Q144" s="75">
        <v>15.77</v>
      </c>
      <c r="R144" s="75">
        <v>-8.06</v>
      </c>
      <c r="S144" s="75">
        <v>-7.8929999999999998</v>
      </c>
      <c r="T144" s="105">
        <v>-7.6909999999999998</v>
      </c>
      <c r="U144" s="104">
        <v>17.329999999999998</v>
      </c>
      <c r="V144" s="75">
        <v>17.28</v>
      </c>
      <c r="W144" s="75">
        <v>17.21</v>
      </c>
      <c r="X144" s="75">
        <v>-27.725000000000001</v>
      </c>
      <c r="Y144" s="75">
        <v>-31.58</v>
      </c>
      <c r="Z144" s="105">
        <v>-33.450000000000003</v>
      </c>
      <c r="AA144" s="104">
        <v>-1.07</v>
      </c>
      <c r="AB144" s="75">
        <v>-0.62</v>
      </c>
      <c r="AC144" s="75">
        <v>-0.63</v>
      </c>
      <c r="AD144" s="75">
        <v>2.9830000000000001</v>
      </c>
      <c r="AE144" s="75">
        <v>1.6850000000000001</v>
      </c>
      <c r="AF144" s="105">
        <v>4.4800000000000004</v>
      </c>
    </row>
    <row r="145" spans="2:32" x14ac:dyDescent="0.3">
      <c r="B145" s="111">
        <v>23.333333333333361</v>
      </c>
      <c r="C145" s="104">
        <v>2.33</v>
      </c>
      <c r="D145" s="75">
        <v>2.61</v>
      </c>
      <c r="E145" s="75">
        <v>3.05</v>
      </c>
      <c r="F145" s="75">
        <v>0.64800000000000002</v>
      </c>
      <c r="G145" s="75">
        <v>-1.496</v>
      </c>
      <c r="H145" s="105">
        <v>-2.891</v>
      </c>
      <c r="I145" s="104">
        <v>2.17</v>
      </c>
      <c r="J145" s="75">
        <v>2.46</v>
      </c>
      <c r="K145" s="75">
        <v>2.84</v>
      </c>
      <c r="L145" s="75">
        <v>1.694</v>
      </c>
      <c r="M145" s="75">
        <v>0.51600000000000001</v>
      </c>
      <c r="N145" s="105">
        <v>-0.29099999999999998</v>
      </c>
      <c r="O145" s="104">
        <v>15.65</v>
      </c>
      <c r="P145" s="75">
        <v>15.521000000000001</v>
      </c>
      <c r="Q145" s="75">
        <v>15.62</v>
      </c>
      <c r="R145" s="75">
        <v>-7.6509999999999998</v>
      </c>
      <c r="S145" s="75">
        <v>-7.6680000000000001</v>
      </c>
      <c r="T145" s="105">
        <v>-7.5259999999999998</v>
      </c>
      <c r="U145" s="104">
        <v>17.28</v>
      </c>
      <c r="V145" s="75">
        <v>17.22</v>
      </c>
      <c r="W145" s="75">
        <v>17.149999999999999</v>
      </c>
      <c r="X145" s="75">
        <v>-29.59</v>
      </c>
      <c r="Y145" s="75">
        <v>-33.11</v>
      </c>
      <c r="Z145" s="105">
        <v>-35.130000000000003</v>
      </c>
      <c r="AA145" s="104">
        <v>-0.93</v>
      </c>
      <c r="AB145" s="75">
        <v>-0.54</v>
      </c>
      <c r="AC145" s="75">
        <v>-0.55000000000000004</v>
      </c>
      <c r="AD145" s="75">
        <v>2.9990000000000001</v>
      </c>
      <c r="AE145" s="75">
        <v>1.899</v>
      </c>
      <c r="AF145" s="105">
        <v>3.2629999999999999</v>
      </c>
    </row>
    <row r="146" spans="2:32" x14ac:dyDescent="0.3">
      <c r="B146" s="111">
        <v>23.500000000000028</v>
      </c>
      <c r="C146" s="104">
        <v>2.44</v>
      </c>
      <c r="D146" s="75">
        <v>2.71</v>
      </c>
      <c r="E146" s="75">
        <v>3.01</v>
      </c>
      <c r="F146" s="75">
        <v>1.474</v>
      </c>
      <c r="G146" s="75">
        <v>-1.347</v>
      </c>
      <c r="H146" s="105">
        <v>-1.92</v>
      </c>
      <c r="I146" s="104">
        <v>2.27</v>
      </c>
      <c r="J146" s="75">
        <v>2.56</v>
      </c>
      <c r="K146" s="75">
        <v>2.87</v>
      </c>
      <c r="L146" s="75">
        <v>2.726</v>
      </c>
      <c r="M146" s="75">
        <v>0.69199999999999995</v>
      </c>
      <c r="N146" s="105">
        <v>-0.42599999999999999</v>
      </c>
      <c r="O146" s="104">
        <v>15.5</v>
      </c>
      <c r="P146" s="75">
        <v>15.358000000000001</v>
      </c>
      <c r="Q146" s="75">
        <v>15.46</v>
      </c>
      <c r="R146" s="75">
        <v>-7.2380000000000004</v>
      </c>
      <c r="S146" s="75">
        <v>-7.43</v>
      </c>
      <c r="T146" s="105">
        <v>-7.274</v>
      </c>
      <c r="U146" s="104">
        <v>17.23</v>
      </c>
      <c r="V146" s="75">
        <v>17.170000000000002</v>
      </c>
      <c r="W146" s="75">
        <v>17.09</v>
      </c>
      <c r="X146" s="75">
        <v>-30.95</v>
      </c>
      <c r="Y146" s="75">
        <v>-34.479999999999997</v>
      </c>
      <c r="Z146" s="105">
        <v>-36.96</v>
      </c>
      <c r="AA146" s="104">
        <v>-0.93</v>
      </c>
      <c r="AB146" s="75">
        <v>-0.55000000000000004</v>
      </c>
      <c r="AC146" s="75">
        <v>-0.56000000000000005</v>
      </c>
      <c r="AD146" s="75">
        <v>3.097</v>
      </c>
      <c r="AE146" s="75">
        <v>1.548</v>
      </c>
      <c r="AF146" s="105">
        <v>3.6989999999999998</v>
      </c>
    </row>
    <row r="147" spans="2:32" x14ac:dyDescent="0.3">
      <c r="B147" s="111">
        <v>23.666666666666696</v>
      </c>
      <c r="C147" s="104">
        <v>2.5099999999999998</v>
      </c>
      <c r="D147" s="75">
        <v>2.74</v>
      </c>
      <c r="E147" s="75">
        <v>3.02</v>
      </c>
      <c r="F147" s="75">
        <v>1.867</v>
      </c>
      <c r="G147" s="75">
        <v>-0.505</v>
      </c>
      <c r="H147" s="105">
        <v>-1.7010000000000001</v>
      </c>
      <c r="I147" s="104">
        <v>2.44</v>
      </c>
      <c r="J147" s="75">
        <v>2.58</v>
      </c>
      <c r="K147" s="75">
        <v>2.88</v>
      </c>
      <c r="L147" s="75">
        <v>3.7</v>
      </c>
      <c r="M147" s="75">
        <v>0.76900000000000002</v>
      </c>
      <c r="N147" s="105">
        <v>0.114</v>
      </c>
      <c r="O147" s="104">
        <v>15.35</v>
      </c>
      <c r="P147" s="75">
        <v>15.19</v>
      </c>
      <c r="Q147" s="75">
        <v>15.31</v>
      </c>
      <c r="R147" s="75">
        <v>-7.0960000000000001</v>
      </c>
      <c r="S147" s="75">
        <v>-7.2270000000000003</v>
      </c>
      <c r="T147" s="105">
        <v>-6.8659999999999997</v>
      </c>
      <c r="U147" s="104">
        <v>17.18</v>
      </c>
      <c r="V147" s="75">
        <v>17.09</v>
      </c>
      <c r="W147" s="75">
        <v>17.02</v>
      </c>
      <c r="X147" s="75">
        <v>-32.11</v>
      </c>
      <c r="Y147" s="75">
        <v>-36.590000000000003</v>
      </c>
      <c r="Z147" s="105">
        <v>-38.51</v>
      </c>
      <c r="AA147" s="104">
        <v>-0.95</v>
      </c>
      <c r="AB147" s="75">
        <v>-0.59</v>
      </c>
      <c r="AC147" s="75">
        <v>-0.6</v>
      </c>
      <c r="AD147" s="75">
        <v>3.0630000000000002</v>
      </c>
      <c r="AE147" s="75">
        <v>1.681</v>
      </c>
      <c r="AF147" s="105">
        <v>2.9630000000000001</v>
      </c>
    </row>
    <row r="148" spans="2:32" x14ac:dyDescent="0.3">
      <c r="B148" s="111">
        <v>23.833333333333364</v>
      </c>
      <c r="C148" s="104">
        <v>2.65</v>
      </c>
      <c r="D148" s="75">
        <v>2.81</v>
      </c>
      <c r="E148" s="75">
        <v>3.03</v>
      </c>
      <c r="F148" s="75">
        <v>2.3420000000000001</v>
      </c>
      <c r="G148" s="75">
        <v>0.36899999999999999</v>
      </c>
      <c r="H148" s="105">
        <v>-0.81100000000000005</v>
      </c>
      <c r="I148" s="104">
        <v>2.48</v>
      </c>
      <c r="J148" s="75">
        <v>2.64</v>
      </c>
      <c r="K148" s="75">
        <v>2.88</v>
      </c>
      <c r="L148" s="75">
        <v>4.1520000000000001</v>
      </c>
      <c r="M148" s="75">
        <v>1.706</v>
      </c>
      <c r="N148" s="105">
        <v>0.42499999999999999</v>
      </c>
      <c r="O148" s="104">
        <v>15.2</v>
      </c>
      <c r="P148" s="75">
        <v>15.025</v>
      </c>
      <c r="Q148" s="75">
        <v>15.17</v>
      </c>
      <c r="R148" s="75">
        <v>-6.9950000000000001</v>
      </c>
      <c r="S148" s="75">
        <v>-7.2140000000000004</v>
      </c>
      <c r="T148" s="105">
        <v>-6.7939999999999996</v>
      </c>
      <c r="U148" s="104">
        <v>17.12</v>
      </c>
      <c r="V148" s="75">
        <v>17.03</v>
      </c>
      <c r="W148" s="75">
        <v>16.95</v>
      </c>
      <c r="X148" s="75">
        <v>-33.9</v>
      </c>
      <c r="Y148" s="75">
        <v>-38.229999999999997</v>
      </c>
      <c r="Z148" s="105">
        <v>-40.21</v>
      </c>
      <c r="AA148" s="104">
        <v>-0.93</v>
      </c>
      <c r="AB148" s="75">
        <v>-0.61</v>
      </c>
      <c r="AC148" s="75">
        <v>-0.62</v>
      </c>
      <c r="AD148" s="75">
        <v>3.21</v>
      </c>
      <c r="AE148" s="75">
        <v>1.411</v>
      </c>
      <c r="AF148" s="105">
        <v>3.1549999999999998</v>
      </c>
    </row>
    <row r="149" spans="2:32" x14ac:dyDescent="0.3">
      <c r="B149" s="111">
        <v>24.000000000000032</v>
      </c>
      <c r="C149" s="104">
        <v>2.75</v>
      </c>
      <c r="D149" s="75">
        <v>2.87</v>
      </c>
      <c r="E149" s="75">
        <v>3.08</v>
      </c>
      <c r="F149" s="75">
        <v>2.532</v>
      </c>
      <c r="G149" s="75">
        <v>1.111</v>
      </c>
      <c r="H149" s="105">
        <v>0.20899999999999999</v>
      </c>
      <c r="I149" s="104">
        <v>2.58</v>
      </c>
      <c r="J149" s="75">
        <v>2.71</v>
      </c>
      <c r="K149" s="75">
        <v>2.93</v>
      </c>
      <c r="L149" s="75">
        <v>4.4619999999999997</v>
      </c>
      <c r="M149" s="75">
        <v>2.6080000000000001</v>
      </c>
      <c r="N149" s="105">
        <v>1.345</v>
      </c>
      <c r="O149" s="104">
        <v>15.04</v>
      </c>
      <c r="P149" s="75">
        <v>14.86</v>
      </c>
      <c r="Q149" s="75">
        <v>15.01</v>
      </c>
      <c r="R149" s="75">
        <v>-6.9889999999999999</v>
      </c>
      <c r="S149" s="75">
        <v>-7.101</v>
      </c>
      <c r="T149" s="105">
        <v>-6.6669999999999998</v>
      </c>
      <c r="U149" s="104">
        <v>17.059999999999999</v>
      </c>
      <c r="V149" s="75">
        <v>16.96</v>
      </c>
      <c r="W149" s="75">
        <v>16.87</v>
      </c>
      <c r="X149" s="75">
        <v>-35.5</v>
      </c>
      <c r="Y149" s="75">
        <v>-39.83</v>
      </c>
      <c r="Z149" s="105">
        <v>-42.18</v>
      </c>
      <c r="AA149" s="104">
        <v>-0.89</v>
      </c>
      <c r="AB149" s="75">
        <v>-0.61</v>
      </c>
      <c r="AC149" s="75">
        <v>-0.62</v>
      </c>
      <c r="AD149" s="75">
        <v>3.54</v>
      </c>
      <c r="AE149" s="75">
        <v>2.2130000000000001</v>
      </c>
      <c r="AF149" s="105">
        <v>3.8479999999999999</v>
      </c>
    </row>
    <row r="150" spans="2:32" x14ac:dyDescent="0.3">
      <c r="B150" s="111">
        <v>24.1666666666667</v>
      </c>
      <c r="C150" s="104">
        <v>2.89</v>
      </c>
      <c r="D150" s="75">
        <v>2.97</v>
      </c>
      <c r="E150" s="75">
        <v>3.18</v>
      </c>
      <c r="F150" s="75">
        <v>2.7490000000000001</v>
      </c>
      <c r="G150" s="75">
        <v>1.742</v>
      </c>
      <c r="H150" s="105">
        <v>1.1579999999999999</v>
      </c>
      <c r="I150" s="104">
        <v>2.71</v>
      </c>
      <c r="J150" s="75">
        <v>2.81</v>
      </c>
      <c r="K150" s="75">
        <v>3.01</v>
      </c>
      <c r="L150" s="75">
        <v>4.7140000000000004</v>
      </c>
      <c r="M150" s="75">
        <v>3.6040000000000001</v>
      </c>
      <c r="N150" s="105">
        <v>2.536</v>
      </c>
      <c r="O150" s="104">
        <v>14.88</v>
      </c>
      <c r="P150" s="75">
        <v>14.7</v>
      </c>
      <c r="Q150" s="75">
        <v>14.85</v>
      </c>
      <c r="R150" s="75">
        <v>-7.3360000000000003</v>
      </c>
      <c r="S150" s="75">
        <v>-6.97</v>
      </c>
      <c r="T150" s="105">
        <v>-6.952</v>
      </c>
      <c r="U150" s="104">
        <v>16.989999999999998</v>
      </c>
      <c r="V150" s="75">
        <v>16.89</v>
      </c>
      <c r="W150" s="75">
        <v>16.79</v>
      </c>
      <c r="X150" s="75">
        <v>-37.33</v>
      </c>
      <c r="Y150" s="75">
        <v>-41.45</v>
      </c>
      <c r="Z150" s="105">
        <v>-43.97</v>
      </c>
      <c r="AA150" s="104">
        <v>-0.82</v>
      </c>
      <c r="AB150" s="75">
        <v>-0.56999999999999995</v>
      </c>
      <c r="AC150" s="75">
        <v>-0.57999999999999996</v>
      </c>
      <c r="AD150" s="75">
        <v>3.3239999999999998</v>
      </c>
      <c r="AE150" s="75">
        <v>3.3140000000000001</v>
      </c>
      <c r="AF150" s="105">
        <v>4.0549999999999997</v>
      </c>
    </row>
    <row r="151" spans="2:32" x14ac:dyDescent="0.3">
      <c r="B151" s="111">
        <v>24.333333333333368</v>
      </c>
      <c r="C151" s="104">
        <v>3.02</v>
      </c>
      <c r="D151" s="75">
        <v>3.09</v>
      </c>
      <c r="E151" s="75">
        <v>3.29</v>
      </c>
      <c r="F151" s="75">
        <v>2.8919999999999999</v>
      </c>
      <c r="G151" s="75">
        <v>2.2389999999999999</v>
      </c>
      <c r="H151" s="105">
        <v>2.0339999999999998</v>
      </c>
      <c r="I151" s="104">
        <v>2.85</v>
      </c>
      <c r="J151" s="75">
        <v>2.93</v>
      </c>
      <c r="K151" s="75">
        <v>3.12</v>
      </c>
      <c r="L151" s="75">
        <v>4.907</v>
      </c>
      <c r="M151" s="75">
        <v>4.1050000000000004</v>
      </c>
      <c r="N151" s="105">
        <v>3.609</v>
      </c>
      <c r="O151" s="104">
        <v>14.7</v>
      </c>
      <c r="P151" s="75">
        <v>14.55</v>
      </c>
      <c r="Q151" s="75">
        <v>14.68</v>
      </c>
      <c r="R151" s="75">
        <v>-7.3019999999999996</v>
      </c>
      <c r="S151" s="75">
        <v>-6.84</v>
      </c>
      <c r="T151" s="105">
        <v>-6.8760000000000003</v>
      </c>
      <c r="U151" s="104">
        <v>16.920000000000002</v>
      </c>
      <c r="V151" s="75">
        <v>16.809999999999999</v>
      </c>
      <c r="W151" s="75">
        <v>16.7</v>
      </c>
      <c r="X151" s="75">
        <v>-39.15</v>
      </c>
      <c r="Y151" s="75">
        <v>-42.8</v>
      </c>
      <c r="Z151" s="105">
        <v>-45.69</v>
      </c>
      <c r="AA151" s="104">
        <v>-0.71</v>
      </c>
      <c r="AB151" s="75">
        <v>-0.53</v>
      </c>
      <c r="AC151" s="75">
        <v>-0.54</v>
      </c>
      <c r="AD151" s="75">
        <v>4.9610000000000003</v>
      </c>
      <c r="AE151" s="75">
        <v>3.6509999999999998</v>
      </c>
      <c r="AF151" s="105">
        <v>4.07</v>
      </c>
    </row>
    <row r="152" spans="2:32" x14ac:dyDescent="0.3">
      <c r="B152" s="111">
        <v>24.500000000000036</v>
      </c>
      <c r="C152" s="104">
        <v>3.18</v>
      </c>
      <c r="D152" s="75">
        <v>3.23</v>
      </c>
      <c r="E152" s="75">
        <v>3.41</v>
      </c>
      <c r="F152" s="75">
        <v>3.5209999999999999</v>
      </c>
      <c r="G152" s="75">
        <v>2.8479999999999999</v>
      </c>
      <c r="H152" s="105">
        <v>2.4220000000000002</v>
      </c>
      <c r="I152" s="104">
        <v>3.01</v>
      </c>
      <c r="J152" s="75">
        <v>3.06</v>
      </c>
      <c r="K152" s="75">
        <v>3.24</v>
      </c>
      <c r="L152" s="75">
        <v>5.133</v>
      </c>
      <c r="M152" s="75">
        <v>4.7380000000000004</v>
      </c>
      <c r="N152" s="105">
        <v>4.3860000000000001</v>
      </c>
      <c r="O152" s="104">
        <v>14.54</v>
      </c>
      <c r="P152" s="75">
        <v>14.39</v>
      </c>
      <c r="Q152" s="75">
        <v>14.52</v>
      </c>
      <c r="R152" s="75">
        <v>-6.944</v>
      </c>
      <c r="S152" s="75">
        <v>-6.4269999999999996</v>
      </c>
      <c r="T152" s="105">
        <v>-6.6619999999999999</v>
      </c>
      <c r="U152" s="104">
        <v>16.84</v>
      </c>
      <c r="V152" s="75">
        <v>16.73</v>
      </c>
      <c r="W152" s="75">
        <v>16.600000000000001</v>
      </c>
      <c r="X152" s="75">
        <v>-40.51</v>
      </c>
      <c r="Y152" s="75">
        <v>-43.85</v>
      </c>
      <c r="Z152" s="105">
        <v>-46.61</v>
      </c>
      <c r="AA152" s="104">
        <v>-0.61</v>
      </c>
      <c r="AB152" s="75">
        <v>-0.44</v>
      </c>
      <c r="AC152" s="75">
        <v>-0.44</v>
      </c>
      <c r="AD152" s="75">
        <v>4.8479999999999999</v>
      </c>
      <c r="AE152" s="75">
        <v>5.0730000000000004</v>
      </c>
      <c r="AF152" s="105">
        <v>5.2859999999999996</v>
      </c>
    </row>
    <row r="153" spans="2:32" x14ac:dyDescent="0.3">
      <c r="B153" s="111">
        <v>24.666666666666703</v>
      </c>
      <c r="C153" s="104">
        <v>3.33</v>
      </c>
      <c r="D153" s="75">
        <v>3.36</v>
      </c>
      <c r="E153" s="75">
        <v>3.53</v>
      </c>
      <c r="F153" s="75">
        <v>3.36</v>
      </c>
      <c r="G153" s="75">
        <v>2.8239999999999998</v>
      </c>
      <c r="H153" s="105">
        <v>2.5990000000000002</v>
      </c>
      <c r="I153" s="104">
        <v>3.16</v>
      </c>
      <c r="J153" s="75">
        <v>3.19</v>
      </c>
      <c r="K153" s="75">
        <v>3.36</v>
      </c>
      <c r="L153" s="75">
        <v>5.835</v>
      </c>
      <c r="M153" s="75">
        <v>5.4109999999999996</v>
      </c>
      <c r="N153" s="105">
        <v>4.7089999999999996</v>
      </c>
      <c r="O153" s="104">
        <v>14.39</v>
      </c>
      <c r="P153" s="75">
        <v>14.23</v>
      </c>
      <c r="Q153" s="75">
        <v>14.37</v>
      </c>
      <c r="R153" s="75">
        <v>-6.7350000000000003</v>
      </c>
      <c r="S153" s="75">
        <v>-6.64</v>
      </c>
      <c r="T153" s="105">
        <v>-6.3739999999999997</v>
      </c>
      <c r="U153" s="104">
        <v>16.77</v>
      </c>
      <c r="V153" s="75">
        <v>16.63</v>
      </c>
      <c r="W153" s="75">
        <v>16.48</v>
      </c>
      <c r="X153" s="75">
        <v>-42.01</v>
      </c>
      <c r="Y153" s="75">
        <v>-45.29</v>
      </c>
      <c r="Z153" s="105">
        <v>-47.84</v>
      </c>
      <c r="AA153" s="104">
        <v>-0.48</v>
      </c>
      <c r="AB153" s="75">
        <v>-0.34</v>
      </c>
      <c r="AC153" s="75">
        <v>-0.34</v>
      </c>
      <c r="AD153" s="75">
        <v>5.101</v>
      </c>
      <c r="AE153" s="75">
        <v>4.2649999999999997</v>
      </c>
      <c r="AF153" s="105">
        <v>4.9740000000000002</v>
      </c>
    </row>
    <row r="154" spans="2:32" x14ac:dyDescent="0.3">
      <c r="B154" s="111">
        <v>24.833333333333371</v>
      </c>
      <c r="C154" s="104">
        <v>3.48</v>
      </c>
      <c r="D154" s="75">
        <v>3.51</v>
      </c>
      <c r="E154" s="75">
        <v>3.65</v>
      </c>
      <c r="F154" s="75">
        <v>3.5470000000000002</v>
      </c>
      <c r="G154" s="75">
        <v>3.0960000000000001</v>
      </c>
      <c r="H154" s="105">
        <v>2.7269999999999999</v>
      </c>
      <c r="I154" s="104">
        <v>3.32</v>
      </c>
      <c r="J154" s="75">
        <v>3.34</v>
      </c>
      <c r="K154" s="75">
        <v>3.49</v>
      </c>
      <c r="L154" s="75">
        <v>5.6589999999999998</v>
      </c>
      <c r="M154" s="75">
        <v>5.3460000000000001</v>
      </c>
      <c r="N154" s="105">
        <v>4.923</v>
      </c>
      <c r="O154" s="104">
        <v>14.23</v>
      </c>
      <c r="P154" s="75">
        <v>14.08</v>
      </c>
      <c r="Q154" s="75">
        <v>14.22</v>
      </c>
      <c r="R154" s="75">
        <v>-6.556</v>
      </c>
      <c r="S154" s="75">
        <v>-6.3250000000000002</v>
      </c>
      <c r="T154" s="105">
        <v>-6.2679999999999998</v>
      </c>
      <c r="U154" s="104">
        <v>16.68</v>
      </c>
      <c r="V154" s="75">
        <v>16.510000000000002</v>
      </c>
      <c r="W154" s="75">
        <v>16.350000000000001</v>
      </c>
      <c r="X154" s="75">
        <v>-42.84</v>
      </c>
      <c r="Y154" s="75">
        <v>-45.92</v>
      </c>
      <c r="Z154" s="105">
        <v>-48.08</v>
      </c>
      <c r="AA154" s="104">
        <v>-0.34</v>
      </c>
      <c r="AB154" s="75">
        <v>-0.22</v>
      </c>
      <c r="AC154" s="75">
        <v>-0.22</v>
      </c>
      <c r="AD154" s="75">
        <v>6.4160000000000004</v>
      </c>
      <c r="AE154" s="75">
        <v>5.976</v>
      </c>
      <c r="AF154" s="105">
        <v>4.8380000000000001</v>
      </c>
    </row>
    <row r="155" spans="2:32" x14ac:dyDescent="0.3">
      <c r="B155" s="111">
        <v>25.000000000000039</v>
      </c>
      <c r="C155" s="104">
        <v>3.64</v>
      </c>
      <c r="D155" s="75">
        <v>3.64</v>
      </c>
      <c r="E155" s="75">
        <v>3.79</v>
      </c>
      <c r="F155" s="75">
        <v>3.5230000000000001</v>
      </c>
      <c r="G155" s="75">
        <v>3.016</v>
      </c>
      <c r="H155" s="105">
        <v>3.1269999999999998</v>
      </c>
      <c r="I155" s="104">
        <v>3.47</v>
      </c>
      <c r="J155" s="75">
        <v>3.47</v>
      </c>
      <c r="K155" s="75">
        <v>3.63</v>
      </c>
      <c r="L155" s="75">
        <v>5.8070000000000004</v>
      </c>
      <c r="M155" s="75">
        <v>5.4820000000000002</v>
      </c>
      <c r="N155" s="105">
        <v>5.0519999999999996</v>
      </c>
      <c r="O155" s="104">
        <v>14.09</v>
      </c>
      <c r="P155" s="75">
        <v>13.93</v>
      </c>
      <c r="Q155" s="75">
        <v>14.07</v>
      </c>
      <c r="R155" s="75">
        <v>-6.2290000000000001</v>
      </c>
      <c r="S155" s="75">
        <v>-6.1680000000000001</v>
      </c>
      <c r="T155" s="105">
        <v>-6.1120000000000001</v>
      </c>
      <c r="U155" s="104">
        <v>16.579999999999998</v>
      </c>
      <c r="V155" s="75">
        <v>16.36</v>
      </c>
      <c r="W155" s="75">
        <v>16.170000000000002</v>
      </c>
      <c r="X155" s="75">
        <v>-43.67</v>
      </c>
      <c r="Y155" s="75">
        <v>-46.3</v>
      </c>
      <c r="Z155" s="105">
        <v>-48.44</v>
      </c>
      <c r="AA155" s="104">
        <v>-0.19</v>
      </c>
      <c r="AB155" s="75">
        <v>-0.1</v>
      </c>
      <c r="AC155" s="75">
        <v>-0.1</v>
      </c>
      <c r="AD155" s="75">
        <v>6.1959999999999997</v>
      </c>
      <c r="AE155" s="75">
        <v>5.18</v>
      </c>
      <c r="AF155" s="105">
        <v>4.6369999999999996</v>
      </c>
    </row>
    <row r="156" spans="2:32" x14ac:dyDescent="0.3">
      <c r="B156" s="111">
        <v>25.166666666666707</v>
      </c>
      <c r="C156" s="104">
        <v>3.78</v>
      </c>
      <c r="D156" s="75">
        <v>3.78</v>
      </c>
      <c r="E156" s="75">
        <v>3.93</v>
      </c>
      <c r="F156" s="75">
        <v>3.27</v>
      </c>
      <c r="G156" s="75">
        <v>3.226</v>
      </c>
      <c r="H156" s="105">
        <v>3.1360000000000001</v>
      </c>
      <c r="I156" s="104">
        <v>3.62</v>
      </c>
      <c r="J156" s="75">
        <v>3.62</v>
      </c>
      <c r="K156" s="75">
        <v>3.77</v>
      </c>
      <c r="L156" s="75">
        <v>5.75</v>
      </c>
      <c r="M156" s="75">
        <v>5.3620000000000001</v>
      </c>
      <c r="N156" s="105">
        <v>5.3280000000000003</v>
      </c>
      <c r="O156" s="104">
        <v>13.94</v>
      </c>
      <c r="P156" s="75">
        <v>13.79</v>
      </c>
      <c r="Q156" s="75">
        <v>13.92</v>
      </c>
      <c r="R156" s="75">
        <v>-6.09</v>
      </c>
      <c r="S156" s="75">
        <v>-6</v>
      </c>
      <c r="T156" s="105">
        <v>-5.9550000000000001</v>
      </c>
      <c r="U156" s="104">
        <v>16.45</v>
      </c>
      <c r="V156" s="75">
        <v>16.170000000000002</v>
      </c>
      <c r="W156" s="75">
        <v>15.97</v>
      </c>
      <c r="X156" s="75">
        <v>-44.51</v>
      </c>
      <c r="Y156" s="75">
        <v>-46.03</v>
      </c>
      <c r="Z156" s="105">
        <v>-47.9</v>
      </c>
      <c r="AA156" s="104">
        <v>-0.05</v>
      </c>
      <c r="AB156" s="75">
        <v>0.05</v>
      </c>
      <c r="AC156" s="75">
        <v>0.05</v>
      </c>
      <c r="AD156" s="75">
        <v>5.9029999999999996</v>
      </c>
      <c r="AE156" s="75">
        <v>5.68</v>
      </c>
      <c r="AF156" s="105">
        <v>4.0430000000000001</v>
      </c>
    </row>
    <row r="157" spans="2:32" x14ac:dyDescent="0.3">
      <c r="B157" s="111">
        <v>25.333333333333375</v>
      </c>
      <c r="C157" s="104">
        <v>3.92</v>
      </c>
      <c r="D157" s="75">
        <v>3.91</v>
      </c>
      <c r="E157" s="75">
        <v>4.07</v>
      </c>
      <c r="F157" s="75">
        <v>3.3740000000000001</v>
      </c>
      <c r="G157" s="75">
        <v>3.0019999999999998</v>
      </c>
      <c r="H157" s="105">
        <v>3.2130000000000001</v>
      </c>
      <c r="I157" s="104">
        <v>3.76</v>
      </c>
      <c r="J157" s="75">
        <v>3.76</v>
      </c>
      <c r="K157" s="75">
        <v>3.91</v>
      </c>
      <c r="L157" s="75">
        <v>5.49</v>
      </c>
      <c r="M157" s="75">
        <v>5.7110000000000003</v>
      </c>
      <c r="N157" s="105">
        <v>5.4619999999999997</v>
      </c>
      <c r="O157" s="104">
        <v>13.8</v>
      </c>
      <c r="P157" s="75">
        <v>13.63</v>
      </c>
      <c r="Q157" s="75">
        <v>13.78</v>
      </c>
      <c r="R157" s="75">
        <v>-6.0519999999999996</v>
      </c>
      <c r="S157" s="75">
        <v>-6.2089999999999996</v>
      </c>
      <c r="T157" s="105">
        <v>-5.8609999999999998</v>
      </c>
      <c r="U157" s="104">
        <v>16.3</v>
      </c>
      <c r="V157" s="75">
        <v>15.96</v>
      </c>
      <c r="W157" s="75">
        <v>15.74</v>
      </c>
      <c r="X157" s="75">
        <v>-44.59</v>
      </c>
      <c r="Y157" s="75">
        <v>-44.68</v>
      </c>
      <c r="Z157" s="105">
        <v>-46.45</v>
      </c>
      <c r="AA157" s="104">
        <v>0.11</v>
      </c>
      <c r="AB157" s="75">
        <v>0.18</v>
      </c>
      <c r="AC157" s="75">
        <v>0.18</v>
      </c>
      <c r="AD157" s="75">
        <v>5.8719999999999999</v>
      </c>
      <c r="AE157" s="75">
        <v>5.3019999999999996</v>
      </c>
      <c r="AF157" s="105">
        <v>5.2359999999999998</v>
      </c>
    </row>
    <row r="158" spans="2:32" x14ac:dyDescent="0.3">
      <c r="B158" s="111">
        <v>25.500000000000043</v>
      </c>
      <c r="C158" s="104">
        <v>4.0599999999999996</v>
      </c>
      <c r="D158" s="75">
        <v>4.05</v>
      </c>
      <c r="E158" s="75">
        <v>4.2</v>
      </c>
      <c r="F158" s="75">
        <v>3.2690000000000001</v>
      </c>
      <c r="G158" s="75">
        <v>3.2839999999999998</v>
      </c>
      <c r="H158" s="105">
        <v>3.0430000000000001</v>
      </c>
      <c r="I158" s="104">
        <v>3.9</v>
      </c>
      <c r="J158" s="75">
        <v>3.89</v>
      </c>
      <c r="K158" s="75">
        <v>4.04</v>
      </c>
      <c r="L158" s="75">
        <v>5.5369999999999999</v>
      </c>
      <c r="M158" s="75">
        <v>5.34</v>
      </c>
      <c r="N158" s="105">
        <v>5.42</v>
      </c>
      <c r="O158" s="104">
        <v>13.65</v>
      </c>
      <c r="P158" s="75">
        <v>13.47</v>
      </c>
      <c r="Q158" s="75">
        <v>13.61</v>
      </c>
      <c r="R158" s="75">
        <v>-6.1920000000000002</v>
      </c>
      <c r="S158" s="75">
        <v>-6.4779999999999998</v>
      </c>
      <c r="T158" s="105">
        <v>-6.3390000000000004</v>
      </c>
      <c r="U158" s="104">
        <v>16.100000000000001</v>
      </c>
      <c r="V158" s="75">
        <v>15.71</v>
      </c>
      <c r="W158" s="75">
        <v>15.49</v>
      </c>
      <c r="X158" s="75">
        <v>-44.02</v>
      </c>
      <c r="Y158" s="75">
        <v>-42.85</v>
      </c>
      <c r="Z158" s="105">
        <v>-43.41</v>
      </c>
      <c r="AA158" s="104">
        <v>0.25</v>
      </c>
      <c r="AB158" s="75">
        <v>0.34</v>
      </c>
      <c r="AC158" s="75">
        <v>0.34</v>
      </c>
      <c r="AD158" s="75">
        <v>6.3019999999999996</v>
      </c>
      <c r="AE158" s="75">
        <v>6.093</v>
      </c>
      <c r="AF158" s="105">
        <v>4.4080000000000004</v>
      </c>
    </row>
    <row r="159" spans="2:32" x14ac:dyDescent="0.3">
      <c r="B159" s="111">
        <v>25.66666666666671</v>
      </c>
      <c r="C159" s="104">
        <v>4.2</v>
      </c>
      <c r="D159" s="75">
        <v>4.18</v>
      </c>
      <c r="E159" s="75">
        <v>4.3600000000000003</v>
      </c>
      <c r="F159" s="75">
        <v>3.343</v>
      </c>
      <c r="G159" s="75">
        <v>3.145</v>
      </c>
      <c r="H159" s="105">
        <v>3.9279999999999999</v>
      </c>
      <c r="I159" s="104">
        <v>4.04</v>
      </c>
      <c r="J159" s="75">
        <v>4.03</v>
      </c>
      <c r="K159" s="75">
        <v>4.2</v>
      </c>
      <c r="L159" s="75">
        <v>5.4909999999999997</v>
      </c>
      <c r="M159" s="75">
        <v>5.6219999999999999</v>
      </c>
      <c r="N159" s="105">
        <v>5.2770000000000001</v>
      </c>
      <c r="O159" s="104">
        <v>13.48</v>
      </c>
      <c r="P159" s="75">
        <v>13.31</v>
      </c>
      <c r="Q159" s="75">
        <v>13.44</v>
      </c>
      <c r="R159" s="75">
        <v>-6.399</v>
      </c>
      <c r="S159" s="75">
        <v>-6.0250000000000004</v>
      </c>
      <c r="T159" s="105">
        <v>-6.2930000000000001</v>
      </c>
      <c r="U159" s="104">
        <v>15.87</v>
      </c>
      <c r="V159" s="75">
        <v>15.45</v>
      </c>
      <c r="W159" s="75">
        <v>15.22</v>
      </c>
      <c r="X159" s="75">
        <v>-42.36</v>
      </c>
      <c r="Y159" s="75">
        <v>-38.770000000000003</v>
      </c>
      <c r="Z159" s="105">
        <v>-39.14</v>
      </c>
      <c r="AA159" s="104">
        <v>0.37</v>
      </c>
      <c r="AB159" s="75">
        <v>0.48</v>
      </c>
      <c r="AC159" s="75">
        <v>0.49</v>
      </c>
      <c r="AD159" s="75">
        <v>5.141</v>
      </c>
      <c r="AE159" s="75">
        <v>5.3339999999999996</v>
      </c>
      <c r="AF159" s="105">
        <v>4.524</v>
      </c>
    </row>
    <row r="160" spans="2:32" x14ac:dyDescent="0.3">
      <c r="B160" s="111">
        <v>25.833333333333378</v>
      </c>
      <c r="C160" s="104">
        <v>4.3600000000000003</v>
      </c>
      <c r="D160" s="75">
        <v>4.34</v>
      </c>
      <c r="E160" s="75">
        <v>4.51</v>
      </c>
      <c r="F160" s="75">
        <v>4.0039999999999996</v>
      </c>
      <c r="G160" s="75">
        <v>4.0590000000000002</v>
      </c>
      <c r="H160" s="105">
        <v>4.008</v>
      </c>
      <c r="I160" s="104">
        <v>4.2</v>
      </c>
      <c r="J160" s="75">
        <v>4.1900000000000004</v>
      </c>
      <c r="K160" s="75">
        <v>4.3600000000000003</v>
      </c>
      <c r="L160" s="75">
        <v>5.4359999999999999</v>
      </c>
      <c r="M160" s="75">
        <v>5.3179999999999996</v>
      </c>
      <c r="N160" s="105">
        <v>6.2439999999999998</v>
      </c>
      <c r="O160" s="104">
        <v>13.33</v>
      </c>
      <c r="P160" s="75">
        <v>13.17</v>
      </c>
      <c r="Q160" s="75">
        <v>13.29</v>
      </c>
      <c r="R160" s="75">
        <v>-6.0949999999999998</v>
      </c>
      <c r="S160" s="75">
        <v>-5.8520000000000003</v>
      </c>
      <c r="T160" s="105">
        <v>-5.8769999999999998</v>
      </c>
      <c r="U160" s="104">
        <v>15.62</v>
      </c>
      <c r="V160" s="75">
        <v>15.19</v>
      </c>
      <c r="W160" s="75">
        <v>14.92</v>
      </c>
      <c r="X160" s="75">
        <v>-39.49</v>
      </c>
      <c r="Y160" s="75">
        <v>-34.29</v>
      </c>
      <c r="Z160" s="105">
        <v>-34.64</v>
      </c>
      <c r="AA160" s="104">
        <v>0.53</v>
      </c>
      <c r="AB160" s="75">
        <v>0.63</v>
      </c>
      <c r="AC160" s="75">
        <v>0.64</v>
      </c>
      <c r="AD160" s="75">
        <v>6.1639999999999997</v>
      </c>
      <c r="AE160" s="75">
        <v>6.234</v>
      </c>
      <c r="AF160" s="105">
        <v>4.556</v>
      </c>
    </row>
    <row r="161" spans="2:32" x14ac:dyDescent="0.3">
      <c r="B161" s="111">
        <v>26.000000000000046</v>
      </c>
      <c r="C161" s="104">
        <v>4.51</v>
      </c>
      <c r="D161" s="75">
        <v>4.5</v>
      </c>
      <c r="E161" s="75">
        <v>4.66</v>
      </c>
      <c r="F161" s="75">
        <v>3.8639999999999999</v>
      </c>
      <c r="G161" s="75">
        <v>3.907</v>
      </c>
      <c r="H161" s="105">
        <v>3.907</v>
      </c>
      <c r="I161" s="104">
        <v>4.3600000000000003</v>
      </c>
      <c r="J161" s="75">
        <v>4.3499999999999996</v>
      </c>
      <c r="K161" s="75">
        <v>4.51</v>
      </c>
      <c r="L161" s="75">
        <v>6.1909999999999998</v>
      </c>
      <c r="M161" s="75">
        <v>6.3109999999999999</v>
      </c>
      <c r="N161" s="105">
        <v>6.0229999999999997</v>
      </c>
      <c r="O161" s="104">
        <v>13.18</v>
      </c>
      <c r="P161" s="75">
        <v>13.02</v>
      </c>
      <c r="Q161" s="75">
        <v>13.14</v>
      </c>
      <c r="R161" s="75">
        <v>-5.8550000000000004</v>
      </c>
      <c r="S161" s="75">
        <v>-5.7949999999999999</v>
      </c>
      <c r="T161" s="105">
        <v>-5.8869999999999996</v>
      </c>
      <c r="U161" s="104">
        <v>15.34</v>
      </c>
      <c r="V161" s="75">
        <v>14.88</v>
      </c>
      <c r="W161" s="75">
        <v>14.6</v>
      </c>
      <c r="X161" s="75">
        <v>-35.229999999999997</v>
      </c>
      <c r="Y161" s="75">
        <v>-30.06</v>
      </c>
      <c r="Z161" s="105">
        <v>-29.27</v>
      </c>
      <c r="AA161" s="104">
        <v>0.66</v>
      </c>
      <c r="AB161" s="75">
        <v>0.76</v>
      </c>
      <c r="AC161" s="75">
        <v>0.77</v>
      </c>
      <c r="AD161" s="75">
        <v>5.2949999999999999</v>
      </c>
      <c r="AE161" s="75">
        <v>5.8369999999999997</v>
      </c>
      <c r="AF161" s="105">
        <v>4.585</v>
      </c>
    </row>
    <row r="162" spans="2:32" x14ac:dyDescent="0.3">
      <c r="B162" s="111">
        <v>26.166666666666714</v>
      </c>
      <c r="C162" s="104">
        <v>4.66</v>
      </c>
      <c r="D162" s="75">
        <v>4.6399999999999997</v>
      </c>
      <c r="E162" s="75">
        <v>4.8</v>
      </c>
      <c r="F162" s="75">
        <v>3.883</v>
      </c>
      <c r="G162" s="75">
        <v>3.875</v>
      </c>
      <c r="H162" s="105">
        <v>3.6640000000000001</v>
      </c>
      <c r="I162" s="104">
        <v>4.51</v>
      </c>
      <c r="J162" s="75">
        <v>4.49</v>
      </c>
      <c r="K162" s="75">
        <v>4.6500000000000004</v>
      </c>
      <c r="L162" s="75">
        <v>5.8739999999999997</v>
      </c>
      <c r="M162" s="75">
        <v>6.157</v>
      </c>
      <c r="N162" s="105">
        <v>6.04</v>
      </c>
      <c r="O162" s="104">
        <v>13.03</v>
      </c>
      <c r="P162" s="75">
        <v>12.87</v>
      </c>
      <c r="Q162" s="75">
        <v>13</v>
      </c>
      <c r="R162" s="75">
        <v>-5.9390000000000001</v>
      </c>
      <c r="S162" s="75">
        <v>-5.7850000000000001</v>
      </c>
      <c r="T162" s="105">
        <v>-5.6790000000000003</v>
      </c>
      <c r="U162" s="104">
        <v>15.03</v>
      </c>
      <c r="V162" s="75">
        <v>14.53</v>
      </c>
      <c r="W162" s="75">
        <v>14.24</v>
      </c>
      <c r="X162" s="75">
        <v>-31.33</v>
      </c>
      <c r="Y162" s="75">
        <v>-24.315000000000001</v>
      </c>
      <c r="Z162" s="105">
        <v>-22.914999999999999</v>
      </c>
      <c r="AA162" s="104">
        <v>0.81</v>
      </c>
      <c r="AB162" s="75">
        <v>0.92</v>
      </c>
      <c r="AC162" s="75">
        <v>0.93</v>
      </c>
      <c r="AD162" s="75">
        <v>7.2690000000000001</v>
      </c>
      <c r="AE162" s="75">
        <v>6.8010000000000002</v>
      </c>
      <c r="AF162" s="105">
        <v>4.5209999999999999</v>
      </c>
    </row>
    <row r="163" spans="2:32" x14ac:dyDescent="0.3">
      <c r="B163" s="111">
        <v>26.333333333333382</v>
      </c>
      <c r="C163" s="104">
        <v>4.8</v>
      </c>
      <c r="D163" s="75">
        <v>4.79</v>
      </c>
      <c r="E163" s="75">
        <v>4.9400000000000004</v>
      </c>
      <c r="F163" s="75">
        <v>3.7829999999999999</v>
      </c>
      <c r="G163" s="75">
        <v>3.8559999999999999</v>
      </c>
      <c r="H163" s="105">
        <v>3.835</v>
      </c>
      <c r="I163" s="104">
        <v>4.66</v>
      </c>
      <c r="J163" s="75">
        <v>4.6399999999999997</v>
      </c>
      <c r="K163" s="75">
        <v>4.79</v>
      </c>
      <c r="L163" s="75">
        <v>5.78</v>
      </c>
      <c r="M163" s="75">
        <v>5.9740000000000002</v>
      </c>
      <c r="N163" s="105">
        <v>5.4660000000000002</v>
      </c>
      <c r="O163" s="104">
        <v>12.88</v>
      </c>
      <c r="P163" s="75">
        <v>12.73</v>
      </c>
      <c r="Q163" s="75">
        <v>12.85</v>
      </c>
      <c r="R163" s="75">
        <v>-5.8220000000000001</v>
      </c>
      <c r="S163" s="75">
        <v>-5.9080000000000004</v>
      </c>
      <c r="T163" s="105">
        <v>-5.6</v>
      </c>
      <c r="U163" s="104">
        <v>14.7</v>
      </c>
      <c r="V163" s="75">
        <v>14.15</v>
      </c>
      <c r="W163" s="75">
        <v>13.83</v>
      </c>
      <c r="X163" s="75">
        <v>-25.875</v>
      </c>
      <c r="Y163" s="75">
        <v>-18.57</v>
      </c>
      <c r="Z163" s="105">
        <v>-16.559999999999999</v>
      </c>
      <c r="AA163" s="104">
        <v>0.95</v>
      </c>
      <c r="AB163" s="75">
        <v>1.06</v>
      </c>
      <c r="AC163" s="75">
        <v>1.08</v>
      </c>
      <c r="AD163" s="75">
        <v>5.7560000000000002</v>
      </c>
      <c r="AE163" s="75">
        <v>6.2670000000000003</v>
      </c>
      <c r="AF163" s="105">
        <v>5.274</v>
      </c>
    </row>
    <row r="164" spans="2:32" x14ac:dyDescent="0.3">
      <c r="B164" s="111">
        <v>26.50000000000005</v>
      </c>
      <c r="C164" s="104">
        <v>4.9400000000000004</v>
      </c>
      <c r="D164" s="75">
        <v>4.93</v>
      </c>
      <c r="E164" s="75">
        <v>5.08</v>
      </c>
      <c r="F164" s="75">
        <v>3.8860000000000001</v>
      </c>
      <c r="G164" s="75">
        <v>3.8140000000000001</v>
      </c>
      <c r="H164" s="105">
        <v>3.8359999999999999</v>
      </c>
      <c r="I164" s="104">
        <v>4.8</v>
      </c>
      <c r="J164" s="75">
        <v>4.79</v>
      </c>
      <c r="K164" s="75">
        <v>4.9400000000000004</v>
      </c>
      <c r="L164" s="75">
        <v>5.7389999999999999</v>
      </c>
      <c r="M164" s="75">
        <v>5.7910000000000004</v>
      </c>
      <c r="N164" s="105">
        <v>5.7089999999999996</v>
      </c>
      <c r="O164" s="104">
        <v>12.74</v>
      </c>
      <c r="P164" s="75">
        <v>12.57</v>
      </c>
      <c r="Q164" s="75">
        <v>12.7</v>
      </c>
      <c r="R164" s="75">
        <v>-5.8259999999999996</v>
      </c>
      <c r="S164" s="75">
        <v>-6.117</v>
      </c>
      <c r="T164" s="105">
        <v>-5.6369999999999996</v>
      </c>
      <c r="U164" s="104">
        <v>14.33</v>
      </c>
      <c r="V164" s="75">
        <v>13.73</v>
      </c>
      <c r="W164" s="75">
        <v>13.45</v>
      </c>
      <c r="X164" s="75">
        <v>-20.420000000000002</v>
      </c>
      <c r="Y164" s="75">
        <v>-13.36</v>
      </c>
      <c r="Z164" s="105">
        <v>-11.98</v>
      </c>
      <c r="AA164" s="104">
        <v>1.1000000000000001</v>
      </c>
      <c r="AB164" s="75">
        <v>1.2</v>
      </c>
      <c r="AC164" s="75">
        <v>1.22</v>
      </c>
      <c r="AD164" s="75">
        <v>6.4820000000000002</v>
      </c>
      <c r="AE164" s="75">
        <v>6.306</v>
      </c>
      <c r="AF164" s="105">
        <v>5.4569999999999999</v>
      </c>
    </row>
    <row r="165" spans="2:32" x14ac:dyDescent="0.3">
      <c r="B165" s="111">
        <v>26.666666666666718</v>
      </c>
      <c r="C165" s="104">
        <v>5.08</v>
      </c>
      <c r="D165" s="75">
        <v>5.08</v>
      </c>
      <c r="E165" s="75">
        <v>5.22</v>
      </c>
      <c r="F165" s="75">
        <v>3.702</v>
      </c>
      <c r="G165" s="75">
        <v>4.0359999999999996</v>
      </c>
      <c r="H165" s="105">
        <v>3.9550000000000001</v>
      </c>
      <c r="I165" s="104">
        <v>4.9400000000000004</v>
      </c>
      <c r="J165" s="75">
        <v>4.9400000000000004</v>
      </c>
      <c r="K165" s="75">
        <v>5.08</v>
      </c>
      <c r="L165" s="75">
        <v>5.6920000000000002</v>
      </c>
      <c r="M165" s="75">
        <v>5.7859999999999996</v>
      </c>
      <c r="N165" s="105">
        <v>5.7949999999999999</v>
      </c>
      <c r="O165" s="104">
        <v>12.58</v>
      </c>
      <c r="P165" s="75">
        <v>12.4</v>
      </c>
      <c r="Q165" s="75">
        <v>12.55</v>
      </c>
      <c r="R165" s="75">
        <v>-6.0149999999999997</v>
      </c>
      <c r="S165" s="75">
        <v>-6.4009999999999998</v>
      </c>
      <c r="T165" s="105">
        <v>-5.9820000000000002</v>
      </c>
      <c r="U165" s="104">
        <v>13.9</v>
      </c>
      <c r="V165" s="75">
        <v>13.35</v>
      </c>
      <c r="W165" s="75">
        <v>13.11</v>
      </c>
      <c r="X165" s="75">
        <v>-14.93</v>
      </c>
      <c r="Y165" s="75">
        <v>-9.36</v>
      </c>
      <c r="Z165" s="105">
        <v>-8.86</v>
      </c>
      <c r="AA165" s="104">
        <v>1.25</v>
      </c>
      <c r="AB165" s="75">
        <v>1.36</v>
      </c>
      <c r="AC165" s="75">
        <v>1.38</v>
      </c>
      <c r="AD165" s="75">
        <v>5.851</v>
      </c>
      <c r="AE165" s="75">
        <v>6.1509999999999998</v>
      </c>
      <c r="AF165" s="105">
        <v>5.0369999999999999</v>
      </c>
    </row>
    <row r="166" spans="2:32" x14ac:dyDescent="0.3">
      <c r="B166" s="111">
        <v>26.833333333333385</v>
      </c>
      <c r="C166" s="104">
        <v>5.22</v>
      </c>
      <c r="D166" s="75">
        <v>5.22</v>
      </c>
      <c r="E166" s="75">
        <v>5.37</v>
      </c>
      <c r="F166" s="75">
        <v>4.016</v>
      </c>
      <c r="G166" s="75">
        <v>4.0650000000000004</v>
      </c>
      <c r="H166" s="105">
        <v>4.4909999999999997</v>
      </c>
      <c r="I166" s="104">
        <v>5.08</v>
      </c>
      <c r="J166" s="75">
        <v>5.08</v>
      </c>
      <c r="K166" s="75">
        <v>5.24</v>
      </c>
      <c r="L166" s="75">
        <v>5.4340000000000002</v>
      </c>
      <c r="M166" s="75">
        <v>5.9550000000000001</v>
      </c>
      <c r="N166" s="105">
        <v>5.8570000000000002</v>
      </c>
      <c r="O166" s="104">
        <v>12.41</v>
      </c>
      <c r="P166" s="75">
        <v>12.24</v>
      </c>
      <c r="Q166" s="75">
        <v>12.39</v>
      </c>
      <c r="R166" s="75">
        <v>-6.5019999999999998</v>
      </c>
      <c r="S166" s="75">
        <v>-6.0389999999999997</v>
      </c>
      <c r="T166" s="105">
        <v>-6.0019999999999998</v>
      </c>
      <c r="U166" s="104">
        <v>13.47</v>
      </c>
      <c r="V166" s="75">
        <v>13.04</v>
      </c>
      <c r="W166" s="75">
        <v>12.83</v>
      </c>
      <c r="X166" s="75">
        <v>-10.85</v>
      </c>
      <c r="Y166" s="75">
        <v>-6.3730000000000002</v>
      </c>
      <c r="Z166" s="105">
        <v>-6.4950000000000001</v>
      </c>
      <c r="AA166" s="104">
        <v>1.41</v>
      </c>
      <c r="AB166" s="75">
        <v>1.5</v>
      </c>
      <c r="AC166" s="75">
        <v>1.52</v>
      </c>
      <c r="AD166" s="75">
        <v>6.3330000000000002</v>
      </c>
      <c r="AE166" s="75">
        <v>6.4649999999999999</v>
      </c>
      <c r="AF166" s="105">
        <v>4.3289999999999997</v>
      </c>
    </row>
    <row r="167" spans="2:32" x14ac:dyDescent="0.3">
      <c r="B167" s="111">
        <v>27.000000000000053</v>
      </c>
      <c r="C167" s="104">
        <v>5.36</v>
      </c>
      <c r="D167" s="75">
        <v>5.37</v>
      </c>
      <c r="E167" s="75">
        <v>5.52</v>
      </c>
      <c r="F167" s="75">
        <v>4.1909999999999998</v>
      </c>
      <c r="G167" s="75">
        <v>4.4870000000000001</v>
      </c>
      <c r="H167" s="105">
        <v>4.5460000000000003</v>
      </c>
      <c r="I167" s="104">
        <v>5.23</v>
      </c>
      <c r="J167" s="75">
        <v>5.23</v>
      </c>
      <c r="K167" s="75">
        <v>5.39</v>
      </c>
      <c r="L167" s="75">
        <v>5.6879999999999997</v>
      </c>
      <c r="M167" s="75">
        <v>5.9349999999999996</v>
      </c>
      <c r="N167" s="105">
        <v>6.3730000000000002</v>
      </c>
      <c r="O167" s="104">
        <v>12.25</v>
      </c>
      <c r="P167" s="75">
        <v>12.08</v>
      </c>
      <c r="Q167" s="75">
        <v>12.23</v>
      </c>
      <c r="R167" s="75">
        <v>-6.0739999999999998</v>
      </c>
      <c r="S167" s="75">
        <v>-6.1859999999999999</v>
      </c>
      <c r="T167" s="105">
        <v>-5.9189999999999996</v>
      </c>
      <c r="U167" s="104">
        <v>13.13</v>
      </c>
      <c r="V167" s="75">
        <v>12.77</v>
      </c>
      <c r="W167" s="75">
        <v>12.6</v>
      </c>
      <c r="X167" s="75">
        <v>-7.3339999999999996</v>
      </c>
      <c r="Y167" s="75">
        <v>-4.8310000000000004</v>
      </c>
      <c r="Z167" s="105">
        <v>-5.09</v>
      </c>
      <c r="AA167" s="104">
        <v>1.55</v>
      </c>
      <c r="AB167" s="75">
        <v>1.66</v>
      </c>
      <c r="AC167" s="75">
        <v>1.69</v>
      </c>
      <c r="AD167" s="75">
        <v>6.1079999999999997</v>
      </c>
      <c r="AE167" s="75">
        <v>6.6989999999999998</v>
      </c>
      <c r="AF167" s="105">
        <v>4.6349999999999998</v>
      </c>
    </row>
    <row r="168" spans="2:32" x14ac:dyDescent="0.3">
      <c r="B168" s="111">
        <v>27.166666666666721</v>
      </c>
      <c r="C168" s="104">
        <v>5.51</v>
      </c>
      <c r="D168" s="75">
        <v>5.51</v>
      </c>
      <c r="E168" s="75">
        <v>5.66</v>
      </c>
      <c r="F168" s="75">
        <v>4.4800000000000004</v>
      </c>
      <c r="G168" s="75">
        <v>4.3730000000000002</v>
      </c>
      <c r="H168" s="105">
        <v>4.6630000000000003</v>
      </c>
      <c r="I168" s="104">
        <v>5.38</v>
      </c>
      <c r="J168" s="75">
        <v>5.38</v>
      </c>
      <c r="K168" s="75">
        <v>5.54</v>
      </c>
      <c r="L168" s="75">
        <v>5.8010000000000002</v>
      </c>
      <c r="M168" s="75">
        <v>6.141</v>
      </c>
      <c r="N168" s="105">
        <v>6.0529999999999999</v>
      </c>
      <c r="O168" s="104">
        <v>12.11</v>
      </c>
      <c r="P168" s="75">
        <v>11.94</v>
      </c>
      <c r="Q168" s="75">
        <v>12.09</v>
      </c>
      <c r="R168" s="75">
        <v>-5.9980000000000002</v>
      </c>
      <c r="S168" s="75">
        <v>-5.87</v>
      </c>
      <c r="T168" s="105">
        <v>-5.9489999999999998</v>
      </c>
      <c r="U168" s="104">
        <v>12.85</v>
      </c>
      <c r="V168" s="75">
        <v>12.56</v>
      </c>
      <c r="W168" s="75">
        <v>12.4</v>
      </c>
      <c r="X168" s="75">
        <v>-5.1740000000000004</v>
      </c>
      <c r="Y168" s="75">
        <v>-4.8339999999999996</v>
      </c>
      <c r="Z168" s="105">
        <v>-5.0739999999999998</v>
      </c>
      <c r="AA168" s="104">
        <v>1.69</v>
      </c>
      <c r="AB168" s="75">
        <v>1.8</v>
      </c>
      <c r="AC168" s="75">
        <v>1.83</v>
      </c>
      <c r="AD168" s="75">
        <v>6.335</v>
      </c>
      <c r="AE168" s="75">
        <v>6.6749999999999998</v>
      </c>
      <c r="AF168" s="105">
        <v>4.9180000000000001</v>
      </c>
    </row>
    <row r="169" spans="2:32" x14ac:dyDescent="0.3">
      <c r="B169" s="111">
        <v>27.333333333333389</v>
      </c>
      <c r="C169" s="104">
        <v>5.65</v>
      </c>
      <c r="D169" s="75">
        <v>5.66</v>
      </c>
      <c r="E169" s="75">
        <v>5.81</v>
      </c>
      <c r="F169" s="75">
        <v>4.4619999999999997</v>
      </c>
      <c r="G169" s="75">
        <v>4.6630000000000003</v>
      </c>
      <c r="H169" s="105">
        <v>4.7450000000000001</v>
      </c>
      <c r="I169" s="104">
        <v>5.53</v>
      </c>
      <c r="J169" s="75">
        <v>5.54</v>
      </c>
      <c r="K169" s="75">
        <v>5.7</v>
      </c>
      <c r="L169" s="75">
        <v>6.1120000000000001</v>
      </c>
      <c r="M169" s="75">
        <v>6.0039999999999996</v>
      </c>
      <c r="N169" s="105">
        <v>6.202</v>
      </c>
      <c r="O169" s="104">
        <v>11.96</v>
      </c>
      <c r="P169" s="75">
        <v>11.78</v>
      </c>
      <c r="Q169" s="75">
        <v>11.93</v>
      </c>
      <c r="R169" s="75">
        <v>-5.8890000000000002</v>
      </c>
      <c r="S169" s="75">
        <v>-5.907</v>
      </c>
      <c r="T169" s="105">
        <v>-5.742</v>
      </c>
      <c r="U169" s="104">
        <v>12.61</v>
      </c>
      <c r="V169" s="75">
        <v>12.36</v>
      </c>
      <c r="W169" s="75">
        <v>12.22</v>
      </c>
      <c r="X169" s="75">
        <v>-5.1349999999999998</v>
      </c>
      <c r="Y169" s="75">
        <v>-4.8360000000000003</v>
      </c>
      <c r="Z169" s="105">
        <v>-5.0570000000000004</v>
      </c>
      <c r="AA169" s="104">
        <v>1.82</v>
      </c>
      <c r="AB169" s="75">
        <v>1.92</v>
      </c>
      <c r="AC169" s="75">
        <v>1.95</v>
      </c>
      <c r="AD169" s="75">
        <v>5.556</v>
      </c>
      <c r="AE169" s="75">
        <v>6.53</v>
      </c>
      <c r="AF169" s="105">
        <v>4</v>
      </c>
    </row>
    <row r="170" spans="2:32" x14ac:dyDescent="0.3">
      <c r="B170" s="111">
        <v>27.500000000000057</v>
      </c>
      <c r="C170" s="104">
        <v>5.8</v>
      </c>
      <c r="D170" s="75">
        <v>5.8</v>
      </c>
      <c r="E170" s="75">
        <v>5.96</v>
      </c>
      <c r="F170" s="75">
        <v>4.8049999999999997</v>
      </c>
      <c r="G170" s="75">
        <v>4.6059999999999999</v>
      </c>
      <c r="H170" s="105">
        <v>4.883</v>
      </c>
      <c r="I170" s="104">
        <v>5.68</v>
      </c>
      <c r="J170" s="75">
        <v>5.69</v>
      </c>
      <c r="K170" s="75">
        <v>5.85</v>
      </c>
      <c r="L170" s="75">
        <v>5.8860000000000001</v>
      </c>
      <c r="M170" s="75">
        <v>6.335</v>
      </c>
      <c r="N170" s="105">
        <v>6.1710000000000003</v>
      </c>
      <c r="O170" s="104">
        <v>11.82</v>
      </c>
      <c r="P170" s="75">
        <v>11.64</v>
      </c>
      <c r="Q170" s="75">
        <v>11.79</v>
      </c>
      <c r="R170" s="75">
        <v>-5.7930000000000001</v>
      </c>
      <c r="S170" s="75">
        <v>-5.7720000000000002</v>
      </c>
      <c r="T170" s="105">
        <v>-5.6689999999999996</v>
      </c>
      <c r="U170" s="104">
        <v>12.41</v>
      </c>
      <c r="V170" s="75">
        <v>12.19</v>
      </c>
      <c r="W170" s="75">
        <v>12.06</v>
      </c>
      <c r="X170" s="75">
        <v>-5.0960000000000001</v>
      </c>
      <c r="Y170" s="75">
        <v>-5.1749999999999998</v>
      </c>
      <c r="Z170" s="105">
        <v>-5.2930000000000001</v>
      </c>
      <c r="AA170" s="104">
        <v>1.99</v>
      </c>
      <c r="AB170" s="75">
        <v>2.09</v>
      </c>
      <c r="AC170" s="75">
        <v>2.12</v>
      </c>
      <c r="AD170" s="75">
        <v>6.3319999999999999</v>
      </c>
      <c r="AE170" s="75">
        <v>6.3780000000000001</v>
      </c>
      <c r="AF170" s="105">
        <v>3.7</v>
      </c>
    </row>
    <row r="171" spans="2:32" x14ac:dyDescent="0.3">
      <c r="B171" s="111">
        <v>27.666666666666725</v>
      </c>
      <c r="C171" s="104">
        <v>5.94</v>
      </c>
      <c r="D171" s="75">
        <v>5.94</v>
      </c>
      <c r="E171" s="75">
        <v>6.09</v>
      </c>
      <c r="F171" s="75">
        <v>4.6029999999999998</v>
      </c>
      <c r="G171" s="75">
        <v>4.7389999999999999</v>
      </c>
      <c r="H171" s="105">
        <v>4.8330000000000002</v>
      </c>
      <c r="I171" s="104">
        <v>5.83</v>
      </c>
      <c r="J171" s="75">
        <v>5.83</v>
      </c>
      <c r="K171" s="75">
        <v>5.98</v>
      </c>
      <c r="L171" s="75">
        <v>6.173</v>
      </c>
      <c r="M171" s="75">
        <v>5.9909999999999997</v>
      </c>
      <c r="N171" s="105">
        <v>6.0190000000000001</v>
      </c>
      <c r="O171" s="104">
        <v>11.67</v>
      </c>
      <c r="P171" s="75">
        <v>11.5</v>
      </c>
      <c r="Q171" s="75">
        <v>11.64</v>
      </c>
      <c r="R171" s="75">
        <v>-5.77</v>
      </c>
      <c r="S171" s="75">
        <v>-5.6150000000000002</v>
      </c>
      <c r="T171" s="105">
        <v>-5.7389999999999999</v>
      </c>
      <c r="U171" s="104">
        <v>12.23</v>
      </c>
      <c r="V171" s="75">
        <v>12.04</v>
      </c>
      <c r="W171" s="75">
        <v>11.9</v>
      </c>
      <c r="X171" s="75">
        <v>-4.9660000000000002</v>
      </c>
      <c r="Y171" s="75">
        <v>-4.8419999999999996</v>
      </c>
      <c r="Z171" s="105">
        <v>-5.0250000000000004</v>
      </c>
      <c r="AA171" s="104">
        <v>2.13</v>
      </c>
      <c r="AB171" s="75">
        <v>2.23</v>
      </c>
      <c r="AC171" s="75">
        <v>2.27</v>
      </c>
      <c r="AD171" s="75">
        <v>5.673</v>
      </c>
      <c r="AE171" s="75">
        <v>6.6050000000000004</v>
      </c>
      <c r="AF171" s="105">
        <v>3.6629999999999998</v>
      </c>
    </row>
    <row r="172" spans="2:32" x14ac:dyDescent="0.3">
      <c r="B172" s="111">
        <v>27.833333333333393</v>
      </c>
      <c r="C172" s="104">
        <v>6.08</v>
      </c>
      <c r="D172" s="75">
        <v>6.08</v>
      </c>
      <c r="E172" s="75">
        <v>6.23</v>
      </c>
      <c r="F172" s="75">
        <v>4.9459999999999997</v>
      </c>
      <c r="G172" s="75">
        <v>4.9530000000000003</v>
      </c>
      <c r="H172" s="105">
        <v>5.0410000000000004</v>
      </c>
      <c r="I172" s="104">
        <v>5.97</v>
      </c>
      <c r="J172" s="75">
        <v>5.98</v>
      </c>
      <c r="K172" s="75">
        <v>6.13</v>
      </c>
      <c r="L172" s="75">
        <v>5.8719999999999999</v>
      </c>
      <c r="M172" s="75">
        <v>6.0940000000000003</v>
      </c>
      <c r="N172" s="105">
        <v>5.8920000000000003</v>
      </c>
      <c r="O172" s="104">
        <v>11.52</v>
      </c>
      <c r="P172" s="75">
        <v>11.34</v>
      </c>
      <c r="Q172" s="75">
        <v>11.49</v>
      </c>
      <c r="R172" s="75">
        <v>-6.0140000000000002</v>
      </c>
      <c r="S172" s="75">
        <v>-6.3179999999999996</v>
      </c>
      <c r="T172" s="105">
        <v>-5.9720000000000004</v>
      </c>
      <c r="U172" s="104">
        <v>12.06</v>
      </c>
      <c r="V172" s="75">
        <v>11.87</v>
      </c>
      <c r="W172" s="75">
        <v>11.72</v>
      </c>
      <c r="X172" s="75">
        <v>-5.0179999999999998</v>
      </c>
      <c r="Y172" s="75">
        <v>-4.8440000000000003</v>
      </c>
      <c r="Z172" s="105">
        <v>-5.0090000000000003</v>
      </c>
      <c r="AA172" s="104">
        <v>2.2999999999999998</v>
      </c>
      <c r="AB172" s="75">
        <v>2.39</v>
      </c>
      <c r="AC172" s="75">
        <v>2.37</v>
      </c>
      <c r="AD172" s="75">
        <v>6.4039999999999999</v>
      </c>
      <c r="AE172" s="75">
        <v>6.6369999999999996</v>
      </c>
      <c r="AF172" s="105">
        <v>3.7909999999999999</v>
      </c>
    </row>
    <row r="173" spans="2:32" x14ac:dyDescent="0.3">
      <c r="B173" s="111">
        <v>28.00000000000006</v>
      </c>
      <c r="C173" s="104">
        <v>6.22</v>
      </c>
      <c r="D173" s="75">
        <v>6.21</v>
      </c>
      <c r="E173" s="75">
        <v>6.37</v>
      </c>
      <c r="F173" s="75">
        <v>4.952</v>
      </c>
      <c r="G173" s="75">
        <v>4.8879999999999999</v>
      </c>
      <c r="H173" s="105">
        <v>5.2889999999999997</v>
      </c>
      <c r="I173" s="104">
        <v>6.12</v>
      </c>
      <c r="J173" s="75">
        <v>6.12</v>
      </c>
      <c r="K173" s="75">
        <v>6.28</v>
      </c>
      <c r="L173" s="75">
        <v>6</v>
      </c>
      <c r="M173" s="75">
        <v>6.07</v>
      </c>
      <c r="N173" s="105">
        <v>6.0060000000000002</v>
      </c>
      <c r="O173" s="104">
        <v>11.35</v>
      </c>
      <c r="P173" s="75">
        <v>11.18</v>
      </c>
      <c r="Q173" s="75">
        <v>11.32</v>
      </c>
      <c r="R173" s="75">
        <v>-6.4850000000000003</v>
      </c>
      <c r="S173" s="75">
        <v>-6.0910000000000002</v>
      </c>
      <c r="T173" s="105">
        <v>-6.2880000000000003</v>
      </c>
      <c r="U173" s="104">
        <v>11.88</v>
      </c>
      <c r="V173" s="75">
        <v>11.71</v>
      </c>
      <c r="W173" s="75">
        <v>11.56</v>
      </c>
      <c r="X173" s="75">
        <v>-4.9790000000000001</v>
      </c>
      <c r="Y173" s="75">
        <v>-4.1529999999999996</v>
      </c>
      <c r="Z173" s="105">
        <v>-4.657</v>
      </c>
      <c r="AA173" s="104">
        <v>2.4300000000000002</v>
      </c>
      <c r="AB173" s="75">
        <v>2.5499999999999998</v>
      </c>
      <c r="AC173" s="75">
        <v>2.5099999999999998</v>
      </c>
      <c r="AD173" s="75">
        <v>6.0919999999999996</v>
      </c>
      <c r="AE173" s="75">
        <v>6.9180000000000001</v>
      </c>
      <c r="AF173" s="105">
        <v>4.8620000000000001</v>
      </c>
    </row>
    <row r="174" spans="2:32" x14ac:dyDescent="0.3">
      <c r="B174" s="111">
        <v>28.166666666666728</v>
      </c>
      <c r="C174" s="104">
        <v>6.35</v>
      </c>
      <c r="D174" s="75">
        <v>6.34</v>
      </c>
      <c r="E174" s="75">
        <v>6.51</v>
      </c>
      <c r="F174" s="75">
        <v>5.3070000000000004</v>
      </c>
      <c r="G174" s="75">
        <v>5.0960000000000001</v>
      </c>
      <c r="H174" s="105">
        <v>5.6929999999999996</v>
      </c>
      <c r="I174" s="104">
        <v>6.26</v>
      </c>
      <c r="J174" s="75">
        <v>6.26</v>
      </c>
      <c r="K174" s="75">
        <v>6.43</v>
      </c>
      <c r="L174" s="75">
        <v>5.8479999999999999</v>
      </c>
      <c r="M174" s="75">
        <v>5.8239999999999998</v>
      </c>
      <c r="N174" s="105">
        <v>6.1390000000000002</v>
      </c>
      <c r="O174" s="104">
        <v>11.2</v>
      </c>
      <c r="P174" s="75">
        <v>11.04</v>
      </c>
      <c r="Q174" s="75">
        <v>11.16</v>
      </c>
      <c r="R174" s="75">
        <v>-6.1630000000000003</v>
      </c>
      <c r="S174" s="75">
        <v>-5.883</v>
      </c>
      <c r="T174" s="105">
        <v>-6.14</v>
      </c>
      <c r="U174" s="104">
        <v>11.72</v>
      </c>
      <c r="V174" s="75">
        <v>11.56</v>
      </c>
      <c r="W174" s="75">
        <v>11.4</v>
      </c>
      <c r="X174" s="75">
        <v>-5.1260000000000003</v>
      </c>
      <c r="Y174" s="75">
        <v>-4.8490000000000002</v>
      </c>
      <c r="Z174" s="105">
        <v>-4.976</v>
      </c>
      <c r="AA174" s="104">
        <v>2.59</v>
      </c>
      <c r="AB174" s="75">
        <v>2.69</v>
      </c>
      <c r="AC174" s="75">
        <v>2.66</v>
      </c>
      <c r="AD174" s="75">
        <v>6.1379999999999999</v>
      </c>
      <c r="AE174" s="75">
        <v>6.4189999999999996</v>
      </c>
      <c r="AF174" s="105">
        <v>4.7300000000000004</v>
      </c>
    </row>
    <row r="175" spans="2:32" x14ac:dyDescent="0.3">
      <c r="B175" s="111">
        <v>28.333333333333396</v>
      </c>
      <c r="C175" s="104">
        <v>6.51</v>
      </c>
      <c r="D175" s="75">
        <v>6.49</v>
      </c>
      <c r="E175" s="75">
        <v>6.64</v>
      </c>
      <c r="F175" s="75">
        <v>5.7869999999999999</v>
      </c>
      <c r="G175" s="75">
        <v>5.6779999999999999</v>
      </c>
      <c r="H175" s="105">
        <v>5.5869999999999997</v>
      </c>
      <c r="I175" s="104">
        <v>6.42</v>
      </c>
      <c r="J175" s="75">
        <v>6.41</v>
      </c>
      <c r="K175" s="75">
        <v>6.57</v>
      </c>
      <c r="L175" s="75">
        <v>6.1150000000000002</v>
      </c>
      <c r="M175" s="75">
        <v>6.0110000000000001</v>
      </c>
      <c r="N175" s="105">
        <v>6.343</v>
      </c>
      <c r="O175" s="104">
        <v>11.03</v>
      </c>
      <c r="P175" s="75">
        <v>10.9</v>
      </c>
      <c r="Q175" s="75">
        <v>11.01</v>
      </c>
      <c r="R175" s="75">
        <v>-6.3579999999999997</v>
      </c>
      <c r="S175" s="75">
        <v>-5.8449999999999998</v>
      </c>
      <c r="T175" s="105">
        <v>-6.0039999999999996</v>
      </c>
      <c r="U175" s="104">
        <v>11.55</v>
      </c>
      <c r="V175" s="75">
        <v>11.41</v>
      </c>
      <c r="W175" s="75">
        <v>11.26</v>
      </c>
      <c r="X175" s="75">
        <v>-4.9009999999999998</v>
      </c>
      <c r="Y175" s="75">
        <v>-4.8520000000000003</v>
      </c>
      <c r="Z175" s="105">
        <v>-4.96</v>
      </c>
      <c r="AA175" s="104">
        <v>2.73</v>
      </c>
      <c r="AB175" s="75">
        <v>2.84</v>
      </c>
      <c r="AC175" s="75">
        <v>2.81</v>
      </c>
      <c r="AD175" s="75">
        <v>6.3810000000000002</v>
      </c>
      <c r="AE175" s="75">
        <v>6.8369999999999997</v>
      </c>
      <c r="AF175" s="105">
        <v>4.34</v>
      </c>
    </row>
    <row r="176" spans="2:32" x14ac:dyDescent="0.3">
      <c r="B176" s="111">
        <v>28.500000000000064</v>
      </c>
      <c r="C176" s="104">
        <v>6.65</v>
      </c>
      <c r="D176" s="75">
        <v>6.63</v>
      </c>
      <c r="E176" s="75">
        <v>6.77</v>
      </c>
      <c r="F176" s="75">
        <v>5.9610000000000003</v>
      </c>
      <c r="G176" s="75">
        <v>5.8</v>
      </c>
      <c r="H176" s="105">
        <v>5.931</v>
      </c>
      <c r="I176" s="104">
        <v>6.57</v>
      </c>
      <c r="J176" s="75">
        <v>6.56</v>
      </c>
      <c r="K176" s="75">
        <v>6.71</v>
      </c>
      <c r="L176" s="75">
        <v>6.4329999999999998</v>
      </c>
      <c r="M176" s="75">
        <v>6.4260000000000002</v>
      </c>
      <c r="N176" s="105">
        <v>5.9779999999999998</v>
      </c>
      <c r="O176" s="104">
        <v>10.89</v>
      </c>
      <c r="P176" s="75">
        <v>10.75</v>
      </c>
      <c r="Q176" s="75">
        <v>10.86</v>
      </c>
      <c r="R176" s="75">
        <v>-5.9480000000000004</v>
      </c>
      <c r="S176" s="75">
        <v>-5.8949999999999996</v>
      </c>
      <c r="T176" s="105">
        <v>-5.8630000000000004</v>
      </c>
      <c r="U176" s="104">
        <v>11.4</v>
      </c>
      <c r="V176" s="75">
        <v>11.27</v>
      </c>
      <c r="W176" s="75">
        <v>11.12</v>
      </c>
      <c r="X176" s="75">
        <v>-4.8620000000000001</v>
      </c>
      <c r="Y176" s="75">
        <v>-4.5940000000000003</v>
      </c>
      <c r="Z176" s="105">
        <v>-5.09</v>
      </c>
      <c r="AA176" s="104">
        <v>2.87</v>
      </c>
      <c r="AB176" s="75">
        <v>2.98</v>
      </c>
      <c r="AC176" s="75">
        <v>2.95</v>
      </c>
      <c r="AD176" s="75">
        <v>6.5439999999999996</v>
      </c>
      <c r="AE176" s="75">
        <v>6.4119999999999999</v>
      </c>
      <c r="AF176" s="105">
        <v>4.8529999999999998</v>
      </c>
    </row>
    <row r="177" spans="2:32" x14ac:dyDescent="0.3">
      <c r="B177" s="111">
        <v>28.666666666666732</v>
      </c>
      <c r="C177" s="104">
        <v>6.79</v>
      </c>
      <c r="D177" s="75">
        <v>6.76</v>
      </c>
      <c r="E177" s="75">
        <v>6.92</v>
      </c>
      <c r="F177" s="75">
        <v>6.2629999999999999</v>
      </c>
      <c r="G177" s="75">
        <v>5.8979999999999997</v>
      </c>
      <c r="H177" s="105">
        <v>6.7</v>
      </c>
      <c r="I177" s="104">
        <v>6.72</v>
      </c>
      <c r="J177" s="75">
        <v>6.7</v>
      </c>
      <c r="K177" s="75">
        <v>6.87</v>
      </c>
      <c r="L177" s="75">
        <v>6.2590000000000003</v>
      </c>
      <c r="M177" s="75">
        <v>6.4429999999999996</v>
      </c>
      <c r="N177" s="105">
        <v>6.2009999999999996</v>
      </c>
      <c r="O177" s="104">
        <v>10.74</v>
      </c>
      <c r="P177" s="75">
        <v>10.6</v>
      </c>
      <c r="Q177" s="75">
        <v>10.72</v>
      </c>
      <c r="R177" s="75">
        <v>-6.048</v>
      </c>
      <c r="S177" s="75">
        <v>-5.9660000000000002</v>
      </c>
      <c r="T177" s="105">
        <v>-5.7460000000000004</v>
      </c>
      <c r="U177" s="104">
        <v>11.25</v>
      </c>
      <c r="V177" s="75">
        <v>11.13</v>
      </c>
      <c r="W177" s="75">
        <v>10.98</v>
      </c>
      <c r="X177" s="75">
        <v>-4.5679999999999996</v>
      </c>
      <c r="Y177" s="75">
        <v>-4.8570000000000002</v>
      </c>
      <c r="Z177" s="105">
        <v>-4.9269999999999996</v>
      </c>
      <c r="AA177" s="104">
        <v>3.02</v>
      </c>
      <c r="AB177" s="75">
        <v>3.13</v>
      </c>
      <c r="AC177" s="75">
        <v>3.11</v>
      </c>
      <c r="AD177" s="75">
        <v>6.9080000000000004</v>
      </c>
      <c r="AE177" s="75">
        <v>7.06</v>
      </c>
      <c r="AF177" s="105">
        <v>4.1360000000000001</v>
      </c>
    </row>
    <row r="178" spans="2:32" x14ac:dyDescent="0.3">
      <c r="B178" s="111">
        <v>28.8333333333334</v>
      </c>
      <c r="C178" s="104">
        <v>6.92</v>
      </c>
      <c r="D178" s="75">
        <v>6.9</v>
      </c>
      <c r="E178" s="75">
        <v>7.06</v>
      </c>
      <c r="F178" s="75">
        <v>6.3070000000000004</v>
      </c>
      <c r="G178" s="75">
        <v>6.2910000000000004</v>
      </c>
      <c r="H178" s="105">
        <v>7.0049999999999999</v>
      </c>
      <c r="I178" s="104">
        <v>6.87</v>
      </c>
      <c r="J178" s="75">
        <v>6.85</v>
      </c>
      <c r="K178" s="75">
        <v>7.03</v>
      </c>
      <c r="L178" s="75">
        <v>6.5140000000000002</v>
      </c>
      <c r="M178" s="75">
        <v>6.1139999999999999</v>
      </c>
      <c r="N178" s="105">
        <v>6.7359999999999998</v>
      </c>
      <c r="O178" s="104">
        <v>10.6</v>
      </c>
      <c r="P178" s="75">
        <v>10.45</v>
      </c>
      <c r="Q178" s="75">
        <v>10.58</v>
      </c>
      <c r="R178" s="75">
        <v>-5.8090000000000002</v>
      </c>
      <c r="S178" s="75">
        <v>-5.9480000000000004</v>
      </c>
      <c r="T178" s="105">
        <v>-5.7149999999999999</v>
      </c>
      <c r="U178" s="104">
        <v>11.11</v>
      </c>
      <c r="V178" s="75">
        <v>10.99</v>
      </c>
      <c r="W178" s="75">
        <v>10.84</v>
      </c>
      <c r="X178" s="75">
        <v>-4.7850000000000001</v>
      </c>
      <c r="Y178" s="75">
        <v>-4.8600000000000003</v>
      </c>
      <c r="Z178" s="105">
        <v>-4.9109999999999996</v>
      </c>
      <c r="AA178" s="104">
        <v>3.18</v>
      </c>
      <c r="AB178" s="75">
        <v>3.29</v>
      </c>
      <c r="AC178" s="75">
        <v>3.26</v>
      </c>
      <c r="AD178" s="75">
        <v>6.3609999999999998</v>
      </c>
      <c r="AE178" s="75">
        <v>7.4340000000000002</v>
      </c>
      <c r="AF178" s="105">
        <v>5.2770000000000001</v>
      </c>
    </row>
    <row r="179" spans="2:32" x14ac:dyDescent="0.3">
      <c r="B179" s="111">
        <v>29.000000000000068</v>
      </c>
      <c r="C179" s="104">
        <v>7.05</v>
      </c>
      <c r="D179" s="75">
        <v>7.02</v>
      </c>
      <c r="E179" s="75">
        <v>7.2</v>
      </c>
      <c r="F179" s="75">
        <v>6.7430000000000003</v>
      </c>
      <c r="G179" s="75">
        <v>6.5579999999999998</v>
      </c>
      <c r="H179" s="105">
        <v>7.2759999999999998</v>
      </c>
      <c r="I179" s="104">
        <v>7.02</v>
      </c>
      <c r="J179" s="75">
        <v>6.99</v>
      </c>
      <c r="K179" s="75">
        <v>7.17</v>
      </c>
      <c r="L179" s="75">
        <v>6.266</v>
      </c>
      <c r="M179" s="75">
        <v>6.35</v>
      </c>
      <c r="N179" s="105">
        <v>6.77</v>
      </c>
      <c r="O179" s="104">
        <v>10.46</v>
      </c>
      <c r="P179" s="75">
        <v>10.31</v>
      </c>
      <c r="Q179" s="75">
        <v>10.44</v>
      </c>
      <c r="R179" s="75">
        <v>-5.7320000000000002</v>
      </c>
      <c r="S179" s="75">
        <v>-5.8410000000000002</v>
      </c>
      <c r="T179" s="105">
        <v>-5.6970000000000001</v>
      </c>
      <c r="U179" s="104">
        <v>10.96</v>
      </c>
      <c r="V179" s="75">
        <v>10.85</v>
      </c>
      <c r="W179" s="75">
        <v>10.7</v>
      </c>
      <c r="X179" s="75">
        <v>-4.7460000000000004</v>
      </c>
      <c r="Y179" s="75">
        <v>-4.5709999999999997</v>
      </c>
      <c r="Z179" s="105">
        <v>-4.9660000000000002</v>
      </c>
      <c r="AA179" s="104">
        <v>3.33</v>
      </c>
      <c r="AB179" s="75">
        <v>3.42</v>
      </c>
      <c r="AC179" s="75">
        <v>3.41</v>
      </c>
      <c r="AD179" s="75">
        <v>6.6630000000000003</v>
      </c>
      <c r="AE179" s="75">
        <v>6.7080000000000002</v>
      </c>
      <c r="AF179" s="105">
        <v>4.9950000000000001</v>
      </c>
    </row>
    <row r="180" spans="2:32" x14ac:dyDescent="0.3">
      <c r="B180" s="111">
        <v>29.166666666666735</v>
      </c>
      <c r="C180" s="104">
        <v>7.19</v>
      </c>
      <c r="D180" s="75">
        <v>7.16</v>
      </c>
      <c r="E180" s="75">
        <v>7.32</v>
      </c>
      <c r="F180" s="75">
        <v>7.0579999999999998</v>
      </c>
      <c r="G180" s="75">
        <v>6.9269999999999996</v>
      </c>
      <c r="H180" s="105">
        <v>7.2130000000000001</v>
      </c>
      <c r="I180" s="104">
        <v>7.16</v>
      </c>
      <c r="J180" s="75">
        <v>7.14</v>
      </c>
      <c r="K180" s="75">
        <v>7.31</v>
      </c>
      <c r="L180" s="75">
        <v>6.4029999999999996</v>
      </c>
      <c r="M180" s="75">
        <v>6.415</v>
      </c>
      <c r="N180" s="105">
        <v>6.5949999999999998</v>
      </c>
      <c r="O180" s="104">
        <v>10.32</v>
      </c>
      <c r="P180" s="75">
        <v>10.15</v>
      </c>
      <c r="Q180" s="75">
        <v>10.28</v>
      </c>
      <c r="R180" s="75">
        <v>-5.71</v>
      </c>
      <c r="S180" s="75">
        <v>-6.3179999999999996</v>
      </c>
      <c r="T180" s="105">
        <v>-5.7389999999999999</v>
      </c>
      <c r="U180" s="104">
        <v>10.83</v>
      </c>
      <c r="V180" s="75">
        <v>10.7</v>
      </c>
      <c r="W180" s="75">
        <v>10.54</v>
      </c>
      <c r="X180" s="75">
        <v>-4.5549999999999997</v>
      </c>
      <c r="Y180" s="75">
        <v>-4.8650000000000002</v>
      </c>
      <c r="Z180" s="105">
        <v>-4.8789999999999996</v>
      </c>
      <c r="AA180" s="104">
        <v>3.47</v>
      </c>
      <c r="AB180" s="75">
        <v>3.57</v>
      </c>
      <c r="AC180" s="75">
        <v>3.55</v>
      </c>
      <c r="AD180" s="75">
        <v>6.4930000000000003</v>
      </c>
      <c r="AE180" s="75">
        <v>6.593</v>
      </c>
      <c r="AF180" s="105">
        <v>5.4850000000000003</v>
      </c>
    </row>
    <row r="181" spans="2:32" x14ac:dyDescent="0.3">
      <c r="B181" s="111">
        <v>29.333333333333403</v>
      </c>
      <c r="C181" s="104">
        <v>7.32</v>
      </c>
      <c r="D181" s="75">
        <v>7.29</v>
      </c>
      <c r="E181" s="75">
        <v>7.44</v>
      </c>
      <c r="F181" s="75">
        <v>7.4960000000000004</v>
      </c>
      <c r="G181" s="75">
        <v>7.274</v>
      </c>
      <c r="H181" s="105">
        <v>7.7439999999999998</v>
      </c>
      <c r="I181" s="104">
        <v>7.31</v>
      </c>
      <c r="J181" s="75">
        <v>7.28</v>
      </c>
      <c r="K181" s="75">
        <v>7.45</v>
      </c>
      <c r="L181" s="75">
        <v>6.5129999999999999</v>
      </c>
      <c r="M181" s="75">
        <v>6.6390000000000002</v>
      </c>
      <c r="N181" s="105">
        <v>6.2249999999999996</v>
      </c>
      <c r="O181" s="104">
        <v>10.16</v>
      </c>
      <c r="P181" s="75">
        <v>9.99</v>
      </c>
      <c r="Q181" s="75">
        <v>10.119999999999999</v>
      </c>
      <c r="R181" s="75">
        <v>-6.1779999999999999</v>
      </c>
      <c r="S181" s="75">
        <v>-6.274</v>
      </c>
      <c r="T181" s="105">
        <v>-6.1680000000000001</v>
      </c>
      <c r="U181" s="104">
        <v>10.67</v>
      </c>
      <c r="V181" s="75">
        <v>10.54</v>
      </c>
      <c r="W181" s="75">
        <v>10.39</v>
      </c>
      <c r="X181" s="75">
        <v>-4.6680000000000001</v>
      </c>
      <c r="Y181" s="75">
        <v>-4.8680000000000003</v>
      </c>
      <c r="Z181" s="105">
        <v>-4.8620000000000001</v>
      </c>
      <c r="AA181" s="104">
        <v>3.61</v>
      </c>
      <c r="AB181" s="75">
        <v>3.7</v>
      </c>
      <c r="AC181" s="75">
        <v>3.69</v>
      </c>
      <c r="AD181" s="75">
        <v>6.2560000000000002</v>
      </c>
      <c r="AE181" s="75">
        <v>6.5129999999999999</v>
      </c>
      <c r="AF181" s="105">
        <v>5.79</v>
      </c>
    </row>
    <row r="182" spans="2:32" x14ac:dyDescent="0.3">
      <c r="B182" s="111">
        <v>29.500000000000071</v>
      </c>
      <c r="C182" s="104">
        <v>7.45</v>
      </c>
      <c r="D182" s="75">
        <v>7.42</v>
      </c>
      <c r="E182" s="75">
        <v>7.58</v>
      </c>
      <c r="F182" s="75">
        <v>7.7709999999999999</v>
      </c>
      <c r="G182" s="75">
        <v>8.06</v>
      </c>
      <c r="H182" s="105">
        <v>8.34</v>
      </c>
      <c r="I182" s="104">
        <v>7.45</v>
      </c>
      <c r="J182" s="75">
        <v>7.43</v>
      </c>
      <c r="K182" s="75">
        <v>7.6</v>
      </c>
      <c r="L182" s="75">
        <v>6.6210000000000004</v>
      </c>
      <c r="M182" s="75">
        <v>6.4109999999999996</v>
      </c>
      <c r="N182" s="105">
        <v>6.46</v>
      </c>
      <c r="O182" s="104">
        <v>10</v>
      </c>
      <c r="P182" s="75">
        <v>9.84</v>
      </c>
      <c r="Q182" s="75">
        <v>9.98</v>
      </c>
      <c r="R182" s="75">
        <v>-6.21</v>
      </c>
      <c r="S182" s="75">
        <v>-6.1</v>
      </c>
      <c r="T182" s="105">
        <v>-5.851</v>
      </c>
      <c r="U182" s="104">
        <v>10.52</v>
      </c>
      <c r="V182" s="75">
        <v>10.4</v>
      </c>
      <c r="W182" s="75">
        <v>10.25</v>
      </c>
      <c r="X182" s="75">
        <v>-4.6289999999999996</v>
      </c>
      <c r="Y182" s="75">
        <v>-5.4889999999999999</v>
      </c>
      <c r="Z182" s="105">
        <v>-5.2069999999999999</v>
      </c>
      <c r="AA182" s="104">
        <v>3.74</v>
      </c>
      <c r="AB182" s="75">
        <v>3.84</v>
      </c>
      <c r="AC182" s="75">
        <v>3.83</v>
      </c>
      <c r="AD182" s="75">
        <v>6.8129999999999997</v>
      </c>
      <c r="AE182" s="75">
        <v>6.2590000000000003</v>
      </c>
      <c r="AF182" s="105">
        <v>5.3639999999999999</v>
      </c>
    </row>
    <row r="183" spans="2:32" x14ac:dyDescent="0.3">
      <c r="B183" s="111">
        <v>29.666666666666739</v>
      </c>
      <c r="C183" s="104">
        <v>7.59</v>
      </c>
      <c r="D183" s="75">
        <v>7.57</v>
      </c>
      <c r="E183" s="75">
        <v>7.71</v>
      </c>
      <c r="F183" s="75">
        <v>8.68</v>
      </c>
      <c r="G183" s="75">
        <v>8.6999999999999993</v>
      </c>
      <c r="H183" s="105">
        <v>8.83</v>
      </c>
      <c r="I183" s="104">
        <v>7.61</v>
      </c>
      <c r="J183" s="75">
        <v>7.59</v>
      </c>
      <c r="K183" s="75">
        <v>7.74</v>
      </c>
      <c r="L183" s="75">
        <v>6.4630000000000001</v>
      </c>
      <c r="M183" s="75">
        <v>6.9560000000000004</v>
      </c>
      <c r="N183" s="105">
        <v>6.7359999999999998</v>
      </c>
      <c r="O183" s="104">
        <v>9.85</v>
      </c>
      <c r="P183" s="75">
        <v>9.6999999999999993</v>
      </c>
      <c r="Q183" s="75">
        <v>9.83</v>
      </c>
      <c r="R183" s="75">
        <v>-6.1719999999999997</v>
      </c>
      <c r="S183" s="75">
        <v>-5.8959999999999999</v>
      </c>
      <c r="T183" s="105">
        <v>-5.8170000000000002</v>
      </c>
      <c r="U183" s="104">
        <v>10.37</v>
      </c>
      <c r="V183" s="75">
        <v>10.26</v>
      </c>
      <c r="W183" s="75">
        <v>10.119999999999999</v>
      </c>
      <c r="X183" s="75">
        <v>-4.5190000000000001</v>
      </c>
      <c r="Y183" s="75">
        <v>-4.8730000000000002</v>
      </c>
      <c r="Z183" s="105">
        <v>-4.83</v>
      </c>
      <c r="AA183" s="104">
        <v>3.89</v>
      </c>
      <c r="AB183" s="75">
        <v>3.97</v>
      </c>
      <c r="AC183" s="75">
        <v>3.97</v>
      </c>
      <c r="AD183" s="75">
        <v>6.2389999999999999</v>
      </c>
      <c r="AE183" s="75">
        <v>5.9619999999999997</v>
      </c>
      <c r="AF183" s="105">
        <v>6.33</v>
      </c>
    </row>
    <row r="184" spans="2:32" x14ac:dyDescent="0.3">
      <c r="B184" s="111">
        <v>29.833333333333407</v>
      </c>
      <c r="C184" s="104">
        <v>7.72</v>
      </c>
      <c r="D184" s="75">
        <v>7.7</v>
      </c>
      <c r="E184" s="75">
        <v>7.83</v>
      </c>
      <c r="F184" s="75">
        <v>8.9700000000000006</v>
      </c>
      <c r="G184" s="75">
        <v>8.9600000000000009</v>
      </c>
      <c r="H184" s="105">
        <v>9.15</v>
      </c>
      <c r="I184" s="104">
        <v>7.76</v>
      </c>
      <c r="J184" s="75">
        <v>7.74</v>
      </c>
      <c r="K184" s="75">
        <v>7.89</v>
      </c>
      <c r="L184" s="75">
        <v>7.1740000000000004</v>
      </c>
      <c r="M184" s="75">
        <v>7.2229999999999999</v>
      </c>
      <c r="N184" s="105">
        <v>6.8520000000000003</v>
      </c>
      <c r="O184" s="104">
        <v>9.6999999999999993</v>
      </c>
      <c r="P184" s="75">
        <v>9.56</v>
      </c>
      <c r="Q184" s="75">
        <v>9.69</v>
      </c>
      <c r="R184" s="75">
        <v>-6.1660000000000004</v>
      </c>
      <c r="S184" s="75">
        <v>-6.0270000000000001</v>
      </c>
      <c r="T184" s="105">
        <v>-5.7759999999999998</v>
      </c>
      <c r="U184" s="104">
        <v>10.23</v>
      </c>
      <c r="V184" s="75">
        <v>10.119999999999999</v>
      </c>
      <c r="W184" s="75">
        <v>9.98</v>
      </c>
      <c r="X184" s="75">
        <v>-4.5510000000000002</v>
      </c>
      <c r="Y184" s="75">
        <v>-4.8760000000000003</v>
      </c>
      <c r="Z184" s="105">
        <v>-4.8140000000000001</v>
      </c>
      <c r="AA184" s="104">
        <v>4.03</v>
      </c>
      <c r="AB184" s="75">
        <v>4.12</v>
      </c>
      <c r="AC184" s="75">
        <v>4.1100000000000003</v>
      </c>
      <c r="AD184" s="75">
        <v>6.6550000000000002</v>
      </c>
      <c r="AE184" s="75">
        <v>6.8860000000000001</v>
      </c>
      <c r="AF184" s="105">
        <v>6.016</v>
      </c>
    </row>
    <row r="185" spans="2:32" x14ac:dyDescent="0.3">
      <c r="B185" s="111">
        <v>30.000000000000075</v>
      </c>
      <c r="C185" s="104">
        <v>7.85</v>
      </c>
      <c r="D185" s="75">
        <v>7.82</v>
      </c>
      <c r="E185" s="75">
        <v>7.95</v>
      </c>
      <c r="F185" s="75">
        <v>9.4</v>
      </c>
      <c r="G185" s="75">
        <v>9.44</v>
      </c>
      <c r="H185" s="105">
        <v>9.8000000000000007</v>
      </c>
      <c r="I185" s="104">
        <v>7.91</v>
      </c>
      <c r="J185" s="75">
        <v>7.89</v>
      </c>
      <c r="K185" s="75">
        <v>8.0299999999999994</v>
      </c>
      <c r="L185" s="75">
        <v>6.9880000000000004</v>
      </c>
      <c r="M185" s="75">
        <v>7.0640000000000001</v>
      </c>
      <c r="N185" s="105">
        <v>6.7939999999999996</v>
      </c>
      <c r="O185" s="104">
        <v>9.56</v>
      </c>
      <c r="P185" s="75">
        <v>9.08</v>
      </c>
      <c r="Q185" s="75">
        <v>9.5399999999999991</v>
      </c>
      <c r="R185" s="75">
        <v>-5.9420000000000002</v>
      </c>
      <c r="S185" s="75">
        <v>-5.8129999999999997</v>
      </c>
      <c r="T185" s="105">
        <v>-5.859</v>
      </c>
      <c r="U185" s="104">
        <v>10.08</v>
      </c>
      <c r="V185" s="75">
        <v>9.7799999999999994</v>
      </c>
      <c r="W185" s="75">
        <v>9.51</v>
      </c>
      <c r="X185" s="75">
        <v>-4.28</v>
      </c>
      <c r="Y185" s="75">
        <v>-4.5359999999999996</v>
      </c>
      <c r="Z185" s="105">
        <v>-4.7140000000000004</v>
      </c>
      <c r="AA185" s="104">
        <v>4.16</v>
      </c>
      <c r="AB185" s="75">
        <v>4.26</v>
      </c>
      <c r="AC185" s="75">
        <v>4.25</v>
      </c>
      <c r="AD185" s="75">
        <v>6.5380000000000003</v>
      </c>
      <c r="AE185" s="75">
        <v>7.4980000000000002</v>
      </c>
      <c r="AF185" s="105">
        <v>7.0019999999999998</v>
      </c>
    </row>
    <row r="186" spans="2:32" x14ac:dyDescent="0.3">
      <c r="B186" s="111">
        <v>30.166666666666742</v>
      </c>
      <c r="C186" s="104">
        <v>7.96</v>
      </c>
      <c r="D186" s="75">
        <v>7.94</v>
      </c>
      <c r="E186" s="75">
        <v>8.07</v>
      </c>
      <c r="F186" s="75">
        <v>9.99</v>
      </c>
      <c r="G186" s="75">
        <v>9.9600000000000009</v>
      </c>
      <c r="H186" s="105">
        <v>10.28</v>
      </c>
      <c r="I186" s="104">
        <v>8.0500000000000007</v>
      </c>
      <c r="J186" s="75">
        <v>8.0299999999999994</v>
      </c>
      <c r="K186" s="75">
        <v>8.17</v>
      </c>
      <c r="L186" s="75">
        <v>6.9359999999999999</v>
      </c>
      <c r="M186" s="75">
        <v>6.944</v>
      </c>
      <c r="N186" s="105">
        <v>6.9329999999999998</v>
      </c>
      <c r="O186" s="104">
        <v>9.07</v>
      </c>
      <c r="P186" s="75">
        <v>8.31</v>
      </c>
      <c r="Q186" s="75">
        <v>8.93</v>
      </c>
      <c r="R186" s="75">
        <v>-5.0469999999999997</v>
      </c>
      <c r="S186" s="75">
        <v>-5.8959999999999999</v>
      </c>
      <c r="T186" s="105">
        <v>-5.59</v>
      </c>
      <c r="U186" s="104">
        <v>9.7200000000000006</v>
      </c>
      <c r="V186" s="75">
        <v>9.16</v>
      </c>
      <c r="W186" s="75">
        <v>8.8800000000000008</v>
      </c>
      <c r="X186" s="75">
        <v>-4.0090000000000003</v>
      </c>
      <c r="Y186" s="75">
        <v>-4.1970000000000001</v>
      </c>
      <c r="Z186" s="105">
        <v>-4.6130000000000004</v>
      </c>
      <c r="AA186" s="104">
        <v>4.33</v>
      </c>
      <c r="AB186" s="75">
        <v>4.42</v>
      </c>
      <c r="AC186" s="75">
        <v>4.42</v>
      </c>
      <c r="AD186" s="75">
        <v>7.1559999999999997</v>
      </c>
      <c r="AE186" s="75">
        <v>7.2880000000000003</v>
      </c>
      <c r="AF186" s="105">
        <v>7.2240000000000002</v>
      </c>
    </row>
    <row r="187" spans="2:32" x14ac:dyDescent="0.3">
      <c r="B187" s="111">
        <v>30.33333333333341</v>
      </c>
      <c r="C187" s="104">
        <v>8.08</v>
      </c>
      <c r="D187" s="75">
        <v>8.06</v>
      </c>
      <c r="E187" s="75">
        <v>8.19</v>
      </c>
      <c r="F187" s="75">
        <v>10.28</v>
      </c>
      <c r="G187" s="75">
        <v>10.47</v>
      </c>
      <c r="H187" s="105">
        <v>10.8</v>
      </c>
      <c r="I187" s="104">
        <v>8.19</v>
      </c>
      <c r="J187" s="75">
        <v>8.17</v>
      </c>
      <c r="K187" s="75">
        <v>8.31</v>
      </c>
      <c r="L187" s="75">
        <v>7.01</v>
      </c>
      <c r="M187" s="75">
        <v>7.1050000000000004</v>
      </c>
      <c r="N187" s="105">
        <v>7.024</v>
      </c>
      <c r="O187" s="104">
        <v>8.4</v>
      </c>
      <c r="P187" s="75">
        <v>7.931</v>
      </c>
      <c r="Q187" s="75">
        <v>8.23</v>
      </c>
      <c r="R187" s="75">
        <v>-4.1529999999999996</v>
      </c>
      <c r="S187" s="75">
        <v>-5.194</v>
      </c>
      <c r="T187" s="105">
        <v>-4.8470000000000004</v>
      </c>
      <c r="U187" s="104">
        <v>9.16</v>
      </c>
      <c r="V187" s="75">
        <v>8.68</v>
      </c>
      <c r="W187" s="75">
        <v>8.4</v>
      </c>
      <c r="X187" s="75">
        <v>-3.1850000000000001</v>
      </c>
      <c r="Y187" s="75">
        <v>-3.6629999999999998</v>
      </c>
      <c r="Z187" s="105">
        <v>-4.181</v>
      </c>
      <c r="AA187" s="104">
        <v>4.47</v>
      </c>
      <c r="AB187" s="75">
        <v>4.55</v>
      </c>
      <c r="AC187" s="75">
        <v>4.55</v>
      </c>
      <c r="AD187" s="75">
        <v>6.4080000000000004</v>
      </c>
      <c r="AE187" s="75">
        <v>7.3179999999999996</v>
      </c>
      <c r="AF187" s="105">
        <v>7.1660000000000004</v>
      </c>
    </row>
    <row r="188" spans="2:32" x14ac:dyDescent="0.3">
      <c r="B188" s="111">
        <v>30.500000000000078</v>
      </c>
      <c r="C188" s="104">
        <v>8.1999999999999993</v>
      </c>
      <c r="D188" s="75">
        <v>8.16</v>
      </c>
      <c r="E188" s="75">
        <v>8.3000000000000007</v>
      </c>
      <c r="F188" s="75">
        <v>10.93</v>
      </c>
      <c r="G188" s="75">
        <v>10.68</v>
      </c>
      <c r="H188" s="105">
        <v>11.44</v>
      </c>
      <c r="I188" s="104">
        <v>8.33</v>
      </c>
      <c r="J188" s="75">
        <v>8.31</v>
      </c>
      <c r="K188" s="75">
        <v>8.4499999999999993</v>
      </c>
      <c r="L188" s="75">
        <v>6.9349999999999996</v>
      </c>
      <c r="M188" s="75">
        <v>7.1310000000000002</v>
      </c>
      <c r="N188" s="105">
        <v>7.0789999999999997</v>
      </c>
      <c r="O188" s="104">
        <v>8.09</v>
      </c>
      <c r="P188" s="75">
        <v>7.5490000000000004</v>
      </c>
      <c r="Q188" s="75">
        <v>7.8559999999999999</v>
      </c>
      <c r="R188" s="75">
        <v>-3.9729999999999999</v>
      </c>
      <c r="S188" s="75">
        <v>-4.5019999999999998</v>
      </c>
      <c r="T188" s="105">
        <v>-4.2380000000000004</v>
      </c>
      <c r="U188" s="104">
        <v>8.75</v>
      </c>
      <c r="V188" s="75">
        <v>8.25</v>
      </c>
      <c r="W188" s="75">
        <v>7.9809999999999999</v>
      </c>
      <c r="X188" s="75">
        <v>-1.552</v>
      </c>
      <c r="Y188" s="75">
        <v>-2.258</v>
      </c>
      <c r="Z188" s="105">
        <v>-2.8109999999999999</v>
      </c>
      <c r="AA188" s="104">
        <v>4.6100000000000003</v>
      </c>
      <c r="AB188" s="75">
        <v>4.7</v>
      </c>
      <c r="AC188" s="75">
        <v>4.7</v>
      </c>
      <c r="AD188" s="75">
        <v>7.2169999999999996</v>
      </c>
      <c r="AE188" s="75">
        <v>7.0940000000000003</v>
      </c>
      <c r="AF188" s="105">
        <v>7.1929999999999996</v>
      </c>
    </row>
    <row r="189" spans="2:32" x14ac:dyDescent="0.3">
      <c r="B189" s="111">
        <v>30.666666666666746</v>
      </c>
      <c r="C189" s="104">
        <v>8.3000000000000007</v>
      </c>
      <c r="D189" s="75">
        <v>8.2799999999999994</v>
      </c>
      <c r="E189" s="75">
        <v>8.43</v>
      </c>
      <c r="F189" s="75">
        <v>11.29</v>
      </c>
      <c r="G189" s="75">
        <v>11.41</v>
      </c>
      <c r="H189" s="105">
        <v>12.62</v>
      </c>
      <c r="I189" s="104">
        <v>8.4600000000000009</v>
      </c>
      <c r="J189" s="75">
        <v>8.44</v>
      </c>
      <c r="K189" s="75">
        <v>8.6</v>
      </c>
      <c r="L189" s="75">
        <v>7.1050000000000004</v>
      </c>
      <c r="M189" s="75">
        <v>6.92</v>
      </c>
      <c r="N189" s="105">
        <v>7.2220000000000004</v>
      </c>
      <c r="O189" s="104">
        <v>7.835</v>
      </c>
      <c r="P189" s="75">
        <v>7.1959999999999997</v>
      </c>
      <c r="Q189" s="75">
        <v>7.484</v>
      </c>
      <c r="R189" s="75">
        <v>-3.5110000000000001</v>
      </c>
      <c r="S189" s="75">
        <v>-3.7509999999999999</v>
      </c>
      <c r="T189" s="105">
        <v>-3.746</v>
      </c>
      <c r="U189" s="104">
        <v>8.44</v>
      </c>
      <c r="V189" s="75">
        <v>7.8780000000000001</v>
      </c>
      <c r="W189" s="75">
        <v>7.6230000000000002</v>
      </c>
      <c r="X189" s="75">
        <v>-0.872</v>
      </c>
      <c r="Y189" s="75">
        <v>-1.1400000000000001</v>
      </c>
      <c r="Z189" s="105">
        <v>-1.4980000000000002</v>
      </c>
      <c r="AA189" s="104">
        <v>4.76</v>
      </c>
      <c r="AB189" s="75">
        <v>4.83</v>
      </c>
      <c r="AC189" s="75">
        <v>4.84</v>
      </c>
      <c r="AD189" s="75">
        <v>7.4950000000000001</v>
      </c>
      <c r="AE189" s="75">
        <v>7.601</v>
      </c>
      <c r="AF189" s="105">
        <v>7.9809999999999999</v>
      </c>
    </row>
    <row r="190" spans="2:32" x14ac:dyDescent="0.3">
      <c r="B190" s="111">
        <v>30.833333333333414</v>
      </c>
      <c r="C190" s="104">
        <v>8.42</v>
      </c>
      <c r="D190" s="75">
        <v>8.39</v>
      </c>
      <c r="E190" s="75">
        <v>8.5500000000000007</v>
      </c>
      <c r="F190" s="75">
        <v>12.45</v>
      </c>
      <c r="G190" s="75">
        <v>12.46</v>
      </c>
      <c r="H190" s="105">
        <v>13.38</v>
      </c>
      <c r="I190" s="104">
        <v>8.6</v>
      </c>
      <c r="J190" s="75">
        <v>8.59</v>
      </c>
      <c r="K190" s="75">
        <v>8.75</v>
      </c>
      <c r="L190" s="75">
        <v>7.016</v>
      </c>
      <c r="M190" s="75">
        <v>7.0620000000000003</v>
      </c>
      <c r="N190" s="105">
        <v>7.9009999999999998</v>
      </c>
      <c r="O190" s="104">
        <v>7.593</v>
      </c>
      <c r="P190" s="75">
        <v>6.9359999999999999</v>
      </c>
      <c r="Q190" s="75">
        <v>7.1459999999999999</v>
      </c>
      <c r="R190" s="75">
        <v>-3.0720000000000001</v>
      </c>
      <c r="S190" s="75">
        <v>-2.6659999999999999</v>
      </c>
      <c r="T190" s="105">
        <v>-3.1280000000000001</v>
      </c>
      <c r="U190" s="104">
        <v>8.17</v>
      </c>
      <c r="V190" s="75">
        <v>7.5880000000000001</v>
      </c>
      <c r="W190" s="75">
        <v>7.3470000000000004</v>
      </c>
      <c r="X190" s="75">
        <v>-0.51900000000000002</v>
      </c>
      <c r="Y190" s="75">
        <v>-0.8</v>
      </c>
      <c r="Z190" s="105">
        <v>-0.27</v>
      </c>
      <c r="AA190" s="104">
        <v>4.9000000000000004</v>
      </c>
      <c r="AB190" s="75">
        <v>4.9800000000000004</v>
      </c>
      <c r="AC190" s="75">
        <v>4.99</v>
      </c>
      <c r="AD190" s="75">
        <v>7.3609999999999998</v>
      </c>
      <c r="AE190" s="75">
        <v>7.72</v>
      </c>
      <c r="AF190" s="105">
        <v>7.367</v>
      </c>
    </row>
    <row r="191" spans="2:32" x14ac:dyDescent="0.3">
      <c r="B191" s="111">
        <v>31.000000000000082</v>
      </c>
      <c r="C191" s="104">
        <v>8.5399999999999991</v>
      </c>
      <c r="D191" s="75">
        <v>8.51</v>
      </c>
      <c r="E191" s="75">
        <v>8.66</v>
      </c>
      <c r="F191" s="75">
        <v>13.22</v>
      </c>
      <c r="G191" s="75">
        <v>13.28</v>
      </c>
      <c r="H191" s="105">
        <v>13.84</v>
      </c>
      <c r="I191" s="104">
        <v>8.74</v>
      </c>
      <c r="J191" s="75">
        <v>8.73</v>
      </c>
      <c r="K191" s="75">
        <v>8.8800000000000008</v>
      </c>
      <c r="L191" s="75">
        <v>7.5359999999999996</v>
      </c>
      <c r="M191" s="75">
        <v>7.8579999999999997</v>
      </c>
      <c r="N191" s="105">
        <v>8.0500000000000007</v>
      </c>
      <c r="O191" s="104">
        <v>7.2990000000000004</v>
      </c>
      <c r="P191" s="75">
        <v>6.73</v>
      </c>
      <c r="Q191" s="75">
        <v>6.8879999999999999</v>
      </c>
      <c r="R191" s="75">
        <v>-2.375</v>
      </c>
      <c r="S191" s="75">
        <v>-1.7090000000000001</v>
      </c>
      <c r="T191" s="105">
        <v>-2.266</v>
      </c>
      <c r="U191" s="104">
        <v>7.8929999999999998</v>
      </c>
      <c r="V191" s="75">
        <v>7.359</v>
      </c>
      <c r="W191" s="75">
        <v>7.1420000000000003</v>
      </c>
      <c r="X191" s="75">
        <v>0.189</v>
      </c>
      <c r="Y191" s="75">
        <v>-0.66400000000000003</v>
      </c>
      <c r="Z191" s="105">
        <v>-0.36899999999999999</v>
      </c>
      <c r="AA191" s="104">
        <v>5.03</v>
      </c>
      <c r="AB191" s="75">
        <v>5.1100000000000003</v>
      </c>
      <c r="AC191" s="75">
        <v>5.12</v>
      </c>
      <c r="AD191" s="75">
        <v>7.2519999999999998</v>
      </c>
      <c r="AE191" s="75">
        <v>7.87</v>
      </c>
      <c r="AF191" s="105">
        <v>8.4600000000000009</v>
      </c>
    </row>
    <row r="192" spans="2:32" x14ac:dyDescent="0.3">
      <c r="B192" s="111">
        <v>31.16666666666675</v>
      </c>
      <c r="C192" s="104">
        <v>8.64</v>
      </c>
      <c r="D192" s="75">
        <v>8.6199999999999992</v>
      </c>
      <c r="E192" s="75">
        <v>8.76</v>
      </c>
      <c r="F192" s="75">
        <v>14.02</v>
      </c>
      <c r="G192" s="75">
        <v>14.12</v>
      </c>
      <c r="H192" s="105">
        <v>14.72</v>
      </c>
      <c r="I192" s="104">
        <v>8.8800000000000008</v>
      </c>
      <c r="J192" s="75">
        <v>8.8699999999999992</v>
      </c>
      <c r="K192" s="75">
        <v>9.02</v>
      </c>
      <c r="L192" s="75">
        <v>7.8150000000000004</v>
      </c>
      <c r="M192" s="75">
        <v>7.8289999999999997</v>
      </c>
      <c r="N192" s="105">
        <v>7.7759999999999998</v>
      </c>
      <c r="O192" s="104">
        <v>7.0170000000000003</v>
      </c>
      <c r="P192" s="75">
        <v>6.5890000000000004</v>
      </c>
      <c r="Q192" s="75">
        <v>6.6959999999999997</v>
      </c>
      <c r="R192" s="75">
        <v>-1.972</v>
      </c>
      <c r="S192" s="75">
        <v>-1.4810000000000001</v>
      </c>
      <c r="T192" s="105">
        <v>-1.3580000000000001</v>
      </c>
      <c r="U192" s="104">
        <v>7.6260000000000003</v>
      </c>
      <c r="V192" s="75">
        <v>7.2050000000000001</v>
      </c>
      <c r="W192" s="75">
        <v>7</v>
      </c>
      <c r="X192" s="75">
        <v>8.9000000000000024E-2</v>
      </c>
      <c r="Y192" s="75">
        <v>-0.29900000000000004</v>
      </c>
      <c r="Z192" s="105">
        <v>-0.11699999999999999</v>
      </c>
      <c r="AA192" s="104">
        <v>5.18</v>
      </c>
      <c r="AB192" s="75">
        <v>5.26</v>
      </c>
      <c r="AC192" s="75">
        <v>5.27</v>
      </c>
      <c r="AD192" s="75">
        <v>7.6349999999999998</v>
      </c>
      <c r="AE192" s="75">
        <v>8.14</v>
      </c>
      <c r="AF192" s="105">
        <v>8.6999999999999993</v>
      </c>
    </row>
    <row r="193" spans="2:32" x14ac:dyDescent="0.3">
      <c r="B193" s="111">
        <v>31.333333333333417</v>
      </c>
      <c r="C193" s="104">
        <v>8.75</v>
      </c>
      <c r="D193" s="75">
        <v>8.7200000000000006</v>
      </c>
      <c r="E193" s="75">
        <v>8.86</v>
      </c>
      <c r="F193" s="75">
        <v>14.87</v>
      </c>
      <c r="G193" s="75">
        <v>14.57</v>
      </c>
      <c r="H193" s="105">
        <v>15.51</v>
      </c>
      <c r="I193" s="104">
        <v>9.02</v>
      </c>
      <c r="J193" s="75">
        <v>9</v>
      </c>
      <c r="K193" s="75">
        <v>9.16</v>
      </c>
      <c r="L193" s="75">
        <v>7.7690000000000001</v>
      </c>
      <c r="M193" s="75">
        <v>8.11</v>
      </c>
      <c r="N193" s="105">
        <v>8.2200000000000006</v>
      </c>
      <c r="O193" s="104">
        <v>6.7949999999999999</v>
      </c>
      <c r="P193" s="75">
        <v>6.4909999999999997</v>
      </c>
      <c r="Q193" s="75">
        <v>6.5650000000000004</v>
      </c>
      <c r="R193" s="75">
        <v>-1.9319999999999999</v>
      </c>
      <c r="S193" s="75">
        <v>-1.4019999999999999</v>
      </c>
      <c r="T193" s="105">
        <v>-0.83899999999999997</v>
      </c>
      <c r="U193" s="104">
        <v>7.399</v>
      </c>
      <c r="V193" s="75">
        <v>7.1029999999999998</v>
      </c>
      <c r="W193" s="75">
        <v>6.9020000000000001</v>
      </c>
      <c r="X193" s="75">
        <v>-0.36299999999999999</v>
      </c>
      <c r="Y193" s="75">
        <v>-0.35800000000000004</v>
      </c>
      <c r="Z193" s="105">
        <v>-0.379</v>
      </c>
      <c r="AA193" s="104">
        <v>5.32</v>
      </c>
      <c r="AB193" s="75">
        <v>5.4</v>
      </c>
      <c r="AC193" s="75">
        <v>5.42</v>
      </c>
      <c r="AD193" s="75">
        <v>8.34</v>
      </c>
      <c r="AE193" s="75">
        <v>8.31</v>
      </c>
      <c r="AF193" s="105">
        <v>8.44</v>
      </c>
    </row>
    <row r="194" spans="2:32" x14ac:dyDescent="0.3">
      <c r="B194" s="111">
        <v>31.500000000000085</v>
      </c>
      <c r="C194" s="104">
        <v>8.85</v>
      </c>
      <c r="D194" s="75">
        <v>8.81</v>
      </c>
      <c r="E194" s="75">
        <v>8.9499999999999993</v>
      </c>
      <c r="F194" s="75">
        <v>15.91</v>
      </c>
      <c r="G194" s="75">
        <v>15.48</v>
      </c>
      <c r="H194" s="105">
        <v>16.62</v>
      </c>
      <c r="I194" s="104">
        <v>9.16</v>
      </c>
      <c r="J194" s="75">
        <v>9.14</v>
      </c>
      <c r="K194" s="75">
        <v>9.2899999999999991</v>
      </c>
      <c r="L194" s="75">
        <v>8.27</v>
      </c>
      <c r="M194" s="75">
        <v>8.07</v>
      </c>
      <c r="N194" s="105">
        <v>8.25</v>
      </c>
      <c r="O194" s="104">
        <v>6.6280000000000001</v>
      </c>
      <c r="P194" s="75">
        <v>6.4180000000000001</v>
      </c>
      <c r="Q194" s="75">
        <v>6.4640000000000004</v>
      </c>
      <c r="R194" s="75">
        <v>-1.78</v>
      </c>
      <c r="S194" s="75">
        <v>-1.585</v>
      </c>
      <c r="T194" s="105">
        <v>-1.607</v>
      </c>
      <c r="U194" s="104">
        <v>7.2169999999999996</v>
      </c>
      <c r="V194" s="75">
        <v>7.0380000000000003</v>
      </c>
      <c r="W194" s="75">
        <v>6.8339999999999996</v>
      </c>
      <c r="X194" s="75">
        <v>-0.156</v>
      </c>
      <c r="Y194" s="75">
        <v>-1.1240000000000001</v>
      </c>
      <c r="Z194" s="105">
        <v>-0.52700000000000002</v>
      </c>
      <c r="AA194" s="104">
        <v>5.47</v>
      </c>
      <c r="AB194" s="75">
        <v>5.56</v>
      </c>
      <c r="AC194" s="75">
        <v>5.57</v>
      </c>
      <c r="AD194" s="75">
        <v>7.7480000000000002</v>
      </c>
      <c r="AE194" s="75">
        <v>8.81</v>
      </c>
      <c r="AF194" s="105">
        <v>8.4</v>
      </c>
    </row>
    <row r="195" spans="2:32" x14ac:dyDescent="0.3">
      <c r="B195" s="111">
        <v>31.666666666666753</v>
      </c>
      <c r="C195" s="104">
        <v>8.9499999999999993</v>
      </c>
      <c r="D195" s="75">
        <v>8.9</v>
      </c>
      <c r="E195" s="75">
        <v>9.0500000000000007</v>
      </c>
      <c r="F195" s="75">
        <v>16.55</v>
      </c>
      <c r="G195" s="75">
        <v>16.21</v>
      </c>
      <c r="H195" s="105">
        <v>17.059999999999999</v>
      </c>
      <c r="I195" s="104">
        <v>9.2899999999999991</v>
      </c>
      <c r="J195" s="75">
        <v>9.27</v>
      </c>
      <c r="K195" s="75">
        <v>9.42</v>
      </c>
      <c r="L195" s="75">
        <v>8.39</v>
      </c>
      <c r="M195" s="75">
        <v>8.26</v>
      </c>
      <c r="N195" s="105">
        <v>8.77</v>
      </c>
      <c r="O195" s="104">
        <v>6.5179999999999998</v>
      </c>
      <c r="P195" s="75">
        <v>6.3609999999999998</v>
      </c>
      <c r="Q195" s="75">
        <v>6.3840000000000003</v>
      </c>
      <c r="R195" s="75">
        <v>-1.6539999999999999</v>
      </c>
      <c r="S195" s="75">
        <v>-0.83299999999999996</v>
      </c>
      <c r="T195" s="105">
        <v>-1.4039999999999999</v>
      </c>
      <c r="U195" s="104">
        <v>7.0890000000000004</v>
      </c>
      <c r="V195" s="75">
        <v>6.9909999999999997</v>
      </c>
      <c r="W195" s="75">
        <v>6.7939999999999996</v>
      </c>
      <c r="X195" s="75">
        <v>-0.32999999999999996</v>
      </c>
      <c r="Y195" s="75">
        <v>-0.34500000000000003</v>
      </c>
      <c r="Z195" s="105">
        <v>0.125</v>
      </c>
      <c r="AA195" s="104">
        <v>5.61</v>
      </c>
      <c r="AB195" s="75">
        <v>5.68</v>
      </c>
      <c r="AC195" s="75">
        <v>5.7</v>
      </c>
      <c r="AD195" s="75">
        <v>8.57</v>
      </c>
      <c r="AE195" s="75">
        <v>9.01</v>
      </c>
      <c r="AF195" s="105">
        <v>9.18</v>
      </c>
    </row>
    <row r="196" spans="2:32" x14ac:dyDescent="0.3">
      <c r="B196" s="111">
        <v>31.833333333333421</v>
      </c>
      <c r="C196" s="104">
        <v>9.0399999999999991</v>
      </c>
      <c r="D196" s="75">
        <v>8.99</v>
      </c>
      <c r="E196" s="75">
        <v>9.16</v>
      </c>
      <c r="F196" s="75">
        <v>17.16</v>
      </c>
      <c r="G196" s="75">
        <v>16.96</v>
      </c>
      <c r="H196" s="105">
        <v>17.89</v>
      </c>
      <c r="I196" s="104">
        <v>9.42</v>
      </c>
      <c r="J196" s="75">
        <v>9.4</v>
      </c>
      <c r="K196" s="75">
        <v>9.56</v>
      </c>
      <c r="L196" s="75">
        <v>8.5500000000000007</v>
      </c>
      <c r="M196" s="75">
        <v>8.34</v>
      </c>
      <c r="N196" s="105">
        <v>8.6199999999999992</v>
      </c>
      <c r="O196" s="104">
        <v>6.4269999999999996</v>
      </c>
      <c r="P196" s="75">
        <v>6.3170000000000002</v>
      </c>
      <c r="Q196" s="75">
        <v>6.3310000000000004</v>
      </c>
      <c r="R196" s="75">
        <v>-1.9390000000000001</v>
      </c>
      <c r="S196" s="75">
        <v>-1.3089999999999999</v>
      </c>
      <c r="T196" s="105">
        <v>-1.3440000000000001</v>
      </c>
      <c r="U196" s="104">
        <v>6.9989999999999997</v>
      </c>
      <c r="V196" s="75">
        <v>6.9580000000000002</v>
      </c>
      <c r="W196" s="75">
        <v>6.77</v>
      </c>
      <c r="X196" s="75">
        <v>-8.7999999999999995E-2</v>
      </c>
      <c r="Y196" s="75">
        <v>0.10399999999999998</v>
      </c>
      <c r="Z196" s="105">
        <v>-0.90700000000000003</v>
      </c>
      <c r="AA196" s="104">
        <v>5.75</v>
      </c>
      <c r="AB196" s="75">
        <v>5.82</v>
      </c>
      <c r="AC196" s="75">
        <v>5.84</v>
      </c>
      <c r="AD196" s="75">
        <v>8.2100000000000009</v>
      </c>
      <c r="AE196" s="75">
        <v>8.82</v>
      </c>
      <c r="AF196" s="105">
        <v>8.33</v>
      </c>
    </row>
    <row r="197" spans="2:32" x14ac:dyDescent="0.3">
      <c r="B197" s="111">
        <v>32.000000000000085</v>
      </c>
      <c r="C197" s="104">
        <v>9.16</v>
      </c>
      <c r="D197" s="75">
        <v>9.11</v>
      </c>
      <c r="E197" s="75">
        <v>9.2799999999999994</v>
      </c>
      <c r="F197" s="75">
        <v>18.34</v>
      </c>
      <c r="G197" s="75">
        <v>17.91</v>
      </c>
      <c r="H197" s="105">
        <v>18.7</v>
      </c>
      <c r="I197" s="104">
        <v>9.56</v>
      </c>
      <c r="J197" s="75">
        <v>9.5299999999999994</v>
      </c>
      <c r="K197" s="75">
        <v>9.6999999999999993</v>
      </c>
      <c r="L197" s="75">
        <v>8.73</v>
      </c>
      <c r="M197" s="75">
        <v>8.7899999999999991</v>
      </c>
      <c r="N197" s="105">
        <v>9.14</v>
      </c>
      <c r="O197" s="104">
        <v>6.3540000000000001</v>
      </c>
      <c r="P197" s="75">
        <v>6.282</v>
      </c>
      <c r="Q197" s="75">
        <v>6.2889999999999997</v>
      </c>
      <c r="R197" s="75">
        <v>-1.825</v>
      </c>
      <c r="S197" s="75">
        <v>-0.89</v>
      </c>
      <c r="T197" s="105">
        <v>-1.3979999999999999</v>
      </c>
      <c r="U197" s="104">
        <v>6.9320000000000004</v>
      </c>
      <c r="V197" s="75">
        <v>6.9349999999999996</v>
      </c>
      <c r="W197" s="75">
        <v>6.7549999999999999</v>
      </c>
      <c r="X197" s="75">
        <v>-0.61699999999999999</v>
      </c>
      <c r="Y197" s="75">
        <v>-0.14900000000000002</v>
      </c>
      <c r="Z197" s="105">
        <v>-0.45600000000000002</v>
      </c>
      <c r="AA197" s="104">
        <v>5.9</v>
      </c>
      <c r="AB197" s="75">
        <v>5.95</v>
      </c>
      <c r="AC197" s="75">
        <v>5.98</v>
      </c>
      <c r="AD197" s="75">
        <v>8.9700000000000006</v>
      </c>
      <c r="AE197" s="75">
        <v>9.51</v>
      </c>
      <c r="AF197" s="105">
        <v>8.6199999999999992</v>
      </c>
    </row>
    <row r="198" spans="2:32" x14ac:dyDescent="0.3">
      <c r="B198" s="111">
        <v>32.16666666666675</v>
      </c>
      <c r="C198" s="104">
        <v>9.2799999999999994</v>
      </c>
      <c r="D198" s="75">
        <v>9.24</v>
      </c>
      <c r="E198" s="75">
        <v>9.39</v>
      </c>
      <c r="F198" s="75">
        <v>18.93</v>
      </c>
      <c r="G198" s="75">
        <v>18.670000000000002</v>
      </c>
      <c r="H198" s="105">
        <v>19.11</v>
      </c>
      <c r="I198" s="104">
        <v>9.6999999999999993</v>
      </c>
      <c r="J198" s="75">
        <v>9.67</v>
      </c>
      <c r="K198" s="75">
        <v>9.82</v>
      </c>
      <c r="L198" s="75">
        <v>9.43</v>
      </c>
      <c r="M198" s="75">
        <v>9.17</v>
      </c>
      <c r="N198" s="105">
        <v>9.84</v>
      </c>
      <c r="O198" s="104">
        <v>6.3070000000000004</v>
      </c>
      <c r="P198" s="75">
        <v>6.2560000000000002</v>
      </c>
      <c r="Q198" s="75">
        <v>6.2649999999999997</v>
      </c>
      <c r="R198" s="75">
        <v>-1.9490000000000001</v>
      </c>
      <c r="S198" s="75">
        <v>-1.135</v>
      </c>
      <c r="T198" s="105">
        <v>-1.6060000000000001</v>
      </c>
      <c r="U198" s="104">
        <v>6.8879999999999999</v>
      </c>
      <c r="V198" s="75">
        <v>6.9169999999999998</v>
      </c>
      <c r="W198" s="75">
        <v>6.7389999999999999</v>
      </c>
      <c r="X198" s="75">
        <v>0.20200000000000001</v>
      </c>
      <c r="Y198" s="75">
        <v>-0.12</v>
      </c>
      <c r="Z198" s="105">
        <v>-0.26900000000000002</v>
      </c>
      <c r="AA198" s="104">
        <v>6.01</v>
      </c>
      <c r="AB198" s="75">
        <v>6.07</v>
      </c>
      <c r="AC198" s="75">
        <v>6.1</v>
      </c>
      <c r="AD198" s="75">
        <v>8.2200000000000006</v>
      </c>
      <c r="AE198" s="75">
        <v>9.2799999999999994</v>
      </c>
      <c r="AF198" s="105">
        <v>9.5500000000000007</v>
      </c>
    </row>
    <row r="199" spans="2:32" x14ac:dyDescent="0.3">
      <c r="B199" s="111">
        <v>32.333333333333414</v>
      </c>
      <c r="C199" s="104">
        <v>9.39</v>
      </c>
      <c r="D199" s="75">
        <v>9.35</v>
      </c>
      <c r="E199" s="75">
        <v>9.5</v>
      </c>
      <c r="F199" s="75">
        <v>19.579999999999998</v>
      </c>
      <c r="G199" s="75">
        <v>19.25</v>
      </c>
      <c r="H199" s="105">
        <v>19.61</v>
      </c>
      <c r="I199" s="104">
        <v>9.83</v>
      </c>
      <c r="J199" s="75">
        <v>9.81</v>
      </c>
      <c r="K199" s="75">
        <v>9.94</v>
      </c>
      <c r="L199" s="75">
        <v>9.77</v>
      </c>
      <c r="M199" s="75">
        <v>9.91</v>
      </c>
      <c r="N199" s="105">
        <v>9.8699999999999992</v>
      </c>
      <c r="O199" s="104">
        <v>6.27</v>
      </c>
      <c r="P199" s="75">
        <v>6.2409999999999997</v>
      </c>
      <c r="Q199" s="75">
        <v>6.2359999999999998</v>
      </c>
      <c r="R199" s="75">
        <v>-1.6830000000000001</v>
      </c>
      <c r="S199" s="75">
        <v>-1.196</v>
      </c>
      <c r="T199" s="105">
        <v>-1.149</v>
      </c>
      <c r="U199" s="104">
        <v>6.8550000000000004</v>
      </c>
      <c r="V199" s="75">
        <v>6.9059999999999997</v>
      </c>
      <c r="W199" s="75">
        <v>6.734</v>
      </c>
      <c r="X199" s="75">
        <v>-0.58000000000000007</v>
      </c>
      <c r="Y199" s="75">
        <v>-0.48799999999999999</v>
      </c>
      <c r="Z199" s="105">
        <v>-0.46200000000000002</v>
      </c>
      <c r="AA199" s="104">
        <v>6.14</v>
      </c>
      <c r="AB199" s="75">
        <v>6.21</v>
      </c>
      <c r="AC199" s="75">
        <v>6.24</v>
      </c>
      <c r="AD199" s="75">
        <v>9.0299999999999994</v>
      </c>
      <c r="AE199" s="75">
        <v>9.26</v>
      </c>
      <c r="AF199" s="105">
        <v>9.5299999999999994</v>
      </c>
    </row>
    <row r="200" spans="2:32" x14ac:dyDescent="0.3">
      <c r="B200" s="111">
        <v>32.500000000000078</v>
      </c>
      <c r="C200" s="104">
        <v>9.51</v>
      </c>
      <c r="D200" s="75">
        <v>9.4600000000000009</v>
      </c>
      <c r="E200" s="75">
        <v>9.61</v>
      </c>
      <c r="F200" s="75">
        <v>20.010000000000002</v>
      </c>
      <c r="G200" s="75">
        <v>19.68</v>
      </c>
      <c r="H200" s="105">
        <v>19.809999999999999</v>
      </c>
      <c r="I200" s="104">
        <v>9.9600000000000009</v>
      </c>
      <c r="J200" s="75">
        <v>9.93</v>
      </c>
      <c r="K200" s="75">
        <v>10.07</v>
      </c>
      <c r="L200" s="75">
        <v>10.41</v>
      </c>
      <c r="M200" s="75">
        <v>10.25</v>
      </c>
      <c r="N200" s="105">
        <v>10.33</v>
      </c>
      <c r="O200" s="104">
        <v>6.2430000000000003</v>
      </c>
      <c r="P200" s="75">
        <v>6.23</v>
      </c>
      <c r="Q200" s="75">
        <v>6.2140000000000004</v>
      </c>
      <c r="R200" s="75">
        <v>-1.869</v>
      </c>
      <c r="S200" s="75">
        <v>-1.218</v>
      </c>
      <c r="T200" s="105">
        <v>-1.528</v>
      </c>
      <c r="U200" s="104">
        <v>6.8380000000000001</v>
      </c>
      <c r="V200" s="75">
        <v>6.9</v>
      </c>
      <c r="W200" s="75">
        <v>6.734</v>
      </c>
      <c r="X200" s="75">
        <v>-0.51500000000000001</v>
      </c>
      <c r="Y200" s="75">
        <v>-0.46</v>
      </c>
      <c r="Z200" s="105">
        <v>-0.75</v>
      </c>
      <c r="AA200" s="104">
        <v>6.29</v>
      </c>
      <c r="AB200" s="75">
        <v>6.35</v>
      </c>
      <c r="AC200" s="75">
        <v>6.38</v>
      </c>
      <c r="AD200" s="75">
        <v>9.8699999999999992</v>
      </c>
      <c r="AE200" s="75">
        <v>10.23</v>
      </c>
      <c r="AF200" s="105">
        <v>10.119999999999999</v>
      </c>
    </row>
    <row r="201" spans="2:32" x14ac:dyDescent="0.3">
      <c r="B201" s="111">
        <v>32.666666666666742</v>
      </c>
      <c r="C201" s="104">
        <v>9.6300000000000008</v>
      </c>
      <c r="D201" s="75">
        <v>9.57</v>
      </c>
      <c r="E201" s="75">
        <v>9.74</v>
      </c>
      <c r="F201" s="75">
        <v>20.04</v>
      </c>
      <c r="G201" s="75">
        <v>19.98</v>
      </c>
      <c r="H201" s="105">
        <v>19.350000000000001</v>
      </c>
      <c r="I201" s="104">
        <v>10.09</v>
      </c>
      <c r="J201" s="75">
        <v>10.050000000000001</v>
      </c>
      <c r="K201" s="75">
        <v>10.19</v>
      </c>
      <c r="L201" s="75">
        <v>10.73</v>
      </c>
      <c r="M201" s="75">
        <v>10.4</v>
      </c>
      <c r="N201" s="105">
        <v>10.52</v>
      </c>
      <c r="O201" s="104">
        <v>6.2229999999999999</v>
      </c>
      <c r="P201" s="75">
        <v>6.2190000000000003</v>
      </c>
      <c r="Q201" s="75">
        <v>6.2080000000000002</v>
      </c>
      <c r="R201" s="75">
        <v>0.16700000000000001</v>
      </c>
      <c r="S201" s="75">
        <v>-0.01</v>
      </c>
      <c r="T201" s="105">
        <v>-9.0999999999999998E-2</v>
      </c>
      <c r="U201" s="104">
        <v>6.8280000000000003</v>
      </c>
      <c r="V201" s="75">
        <v>6.8929999999999998</v>
      </c>
      <c r="W201" s="75">
        <v>6.734</v>
      </c>
      <c r="X201" s="75">
        <v>-0.53100000000000003</v>
      </c>
      <c r="Y201" s="75">
        <v>-0.25900000000000001</v>
      </c>
      <c r="Z201" s="105">
        <v>-0.499</v>
      </c>
      <c r="AA201" s="104">
        <v>6.42</v>
      </c>
      <c r="AB201" s="75">
        <v>6.48</v>
      </c>
      <c r="AC201" s="75">
        <v>6.49</v>
      </c>
      <c r="AD201" s="75">
        <v>9.7200000000000006</v>
      </c>
      <c r="AE201" s="75">
        <v>10.4</v>
      </c>
      <c r="AF201" s="105">
        <v>9.98</v>
      </c>
    </row>
    <row r="202" spans="2:32" x14ac:dyDescent="0.3">
      <c r="B202" s="111">
        <v>32.833333333333407</v>
      </c>
      <c r="C202" s="104">
        <v>9.8000000000000007</v>
      </c>
      <c r="D202" s="75">
        <v>9.7200000000000006</v>
      </c>
      <c r="E202" s="75">
        <v>9.93</v>
      </c>
      <c r="F202" s="75">
        <v>18.41</v>
      </c>
      <c r="G202" s="75">
        <v>19.149999999999999</v>
      </c>
      <c r="H202" s="105">
        <v>16.95</v>
      </c>
      <c r="I202" s="104">
        <v>10.210000000000001</v>
      </c>
      <c r="J202" s="75">
        <v>10.17</v>
      </c>
      <c r="K202" s="75">
        <v>10.31</v>
      </c>
      <c r="L202" s="75">
        <v>11.21</v>
      </c>
      <c r="M202" s="75">
        <v>10.79</v>
      </c>
      <c r="N202" s="105">
        <v>11.37</v>
      </c>
      <c r="O202" s="104">
        <v>6.2140000000000004</v>
      </c>
      <c r="P202" s="75">
        <v>6.2030000000000003</v>
      </c>
      <c r="Q202" s="75">
        <v>6.2</v>
      </c>
      <c r="R202" s="75">
        <v>0.27600000000000002</v>
      </c>
      <c r="S202" s="75">
        <v>5.0000000000000001E-3</v>
      </c>
      <c r="T202" s="105">
        <v>-0.32600000000000001</v>
      </c>
      <c r="U202" s="104">
        <v>6.8220000000000001</v>
      </c>
      <c r="V202" s="75">
        <v>6.88</v>
      </c>
      <c r="W202" s="75">
        <v>6.7439999999999998</v>
      </c>
      <c r="X202" s="75">
        <v>-0.69300000000000006</v>
      </c>
      <c r="Y202" s="75">
        <v>-0.39600000000000002</v>
      </c>
      <c r="Z202" s="105">
        <v>-0.65800000000000003</v>
      </c>
      <c r="AA202" s="104">
        <v>6.56</v>
      </c>
      <c r="AB202" s="75">
        <v>6.61</v>
      </c>
      <c r="AC202" s="75">
        <v>6.63</v>
      </c>
      <c r="AD202" s="75">
        <v>10.5</v>
      </c>
      <c r="AE202" s="75">
        <v>11.21</v>
      </c>
      <c r="AF202" s="105">
        <v>10.83</v>
      </c>
    </row>
    <row r="203" spans="2:32" x14ac:dyDescent="0.3">
      <c r="B203" s="111">
        <v>33.000000000000071</v>
      </c>
      <c r="C203" s="104">
        <v>10.02</v>
      </c>
      <c r="D203" s="75">
        <v>9.92</v>
      </c>
      <c r="E203" s="75">
        <v>10.18</v>
      </c>
      <c r="F203" s="75">
        <v>16.34</v>
      </c>
      <c r="G203" s="75">
        <v>17.07</v>
      </c>
      <c r="H203" s="105">
        <v>14.95</v>
      </c>
      <c r="I203" s="104">
        <v>10.33</v>
      </c>
      <c r="J203" s="75">
        <v>10.3</v>
      </c>
      <c r="K203" s="75">
        <v>10.42</v>
      </c>
      <c r="L203" s="75">
        <v>11.6</v>
      </c>
      <c r="M203" s="75">
        <v>11.37</v>
      </c>
      <c r="N203" s="105">
        <v>11.58</v>
      </c>
      <c r="O203" s="104">
        <v>6.1959999999999997</v>
      </c>
      <c r="P203" s="75">
        <v>6.6269999999999998</v>
      </c>
      <c r="Q203" s="75">
        <v>6.21</v>
      </c>
      <c r="R203" s="75">
        <v>-5.1999999999999998E-2</v>
      </c>
      <c r="S203" s="75">
        <v>4.5999999999999999E-2</v>
      </c>
      <c r="T203" s="105">
        <v>9.6000000000000002E-2</v>
      </c>
      <c r="U203" s="104">
        <v>6.8109999999999999</v>
      </c>
      <c r="V203" s="75">
        <v>7.1509999999999998</v>
      </c>
      <c r="W203" s="75">
        <v>7.0609999999999999</v>
      </c>
      <c r="X203" s="75">
        <v>0.222</v>
      </c>
      <c r="Y203" s="75">
        <v>0.60399999999999998</v>
      </c>
      <c r="Z203" s="105">
        <v>0.25900000000000001</v>
      </c>
      <c r="AA203" s="104">
        <v>6.67</v>
      </c>
      <c r="AB203" s="75">
        <v>6.72</v>
      </c>
      <c r="AC203" s="75">
        <v>6.76</v>
      </c>
      <c r="AD203" s="75">
        <v>10.49</v>
      </c>
      <c r="AE203" s="75">
        <v>10.75</v>
      </c>
      <c r="AF203" s="105">
        <v>11.13</v>
      </c>
    </row>
    <row r="204" spans="2:32" x14ac:dyDescent="0.3">
      <c r="B204" s="111">
        <v>33.166666666666735</v>
      </c>
      <c r="C204" s="104">
        <v>10.26</v>
      </c>
      <c r="D204" s="75">
        <v>10.17</v>
      </c>
      <c r="E204" s="75">
        <v>10.44</v>
      </c>
      <c r="F204" s="75">
        <v>13.88</v>
      </c>
      <c r="G204" s="75">
        <v>14.87</v>
      </c>
      <c r="H204" s="105">
        <v>13.4</v>
      </c>
      <c r="I204" s="104">
        <v>10.44</v>
      </c>
      <c r="J204" s="75">
        <v>10.42</v>
      </c>
      <c r="K204" s="75">
        <v>10.54</v>
      </c>
      <c r="L204" s="75">
        <v>12.23</v>
      </c>
      <c r="M204" s="75">
        <v>11.94</v>
      </c>
      <c r="N204" s="105">
        <v>12.38</v>
      </c>
      <c r="O204" s="104">
        <v>6.6680000000000001</v>
      </c>
      <c r="P204" s="75">
        <v>6.8869999999999996</v>
      </c>
      <c r="Q204" s="75">
        <v>6.6509999999999998</v>
      </c>
      <c r="R204" s="75">
        <v>0.13600000000000001</v>
      </c>
      <c r="S204" s="75">
        <v>0.32600000000000001</v>
      </c>
      <c r="T204" s="105">
        <v>0.28100000000000003</v>
      </c>
      <c r="U204" s="104">
        <v>7.1130000000000004</v>
      </c>
      <c r="V204" s="75">
        <v>7.4169999999999998</v>
      </c>
      <c r="W204" s="75">
        <v>7.3259999999999996</v>
      </c>
      <c r="X204" s="75">
        <v>1.137</v>
      </c>
      <c r="Y204" s="75">
        <v>1.6040000000000001</v>
      </c>
      <c r="Z204" s="105">
        <v>1.1759999999999999</v>
      </c>
      <c r="AA204" s="104">
        <v>6.81</v>
      </c>
      <c r="AB204" s="75">
        <v>6.86</v>
      </c>
      <c r="AC204" s="75">
        <v>6.88</v>
      </c>
      <c r="AD204" s="75">
        <v>11.36</v>
      </c>
      <c r="AE204" s="75">
        <v>11.86</v>
      </c>
      <c r="AF204" s="105">
        <v>12.41</v>
      </c>
    </row>
    <row r="205" spans="2:32" x14ac:dyDescent="0.3">
      <c r="B205" s="111">
        <v>33.3333333333334</v>
      </c>
      <c r="C205" s="104">
        <v>10.51</v>
      </c>
      <c r="D205" s="75">
        <v>10.44</v>
      </c>
      <c r="E205" s="75">
        <v>10.71</v>
      </c>
      <c r="F205" s="75">
        <v>12.44</v>
      </c>
      <c r="G205" s="75">
        <v>13.46</v>
      </c>
      <c r="H205" s="105">
        <v>11.84</v>
      </c>
      <c r="I205" s="104">
        <v>10.56</v>
      </c>
      <c r="J205" s="75">
        <v>10.54</v>
      </c>
      <c r="K205" s="75">
        <v>10.67</v>
      </c>
      <c r="L205" s="75">
        <v>12.24</v>
      </c>
      <c r="M205" s="75">
        <v>12.57</v>
      </c>
      <c r="N205" s="105">
        <v>13.16</v>
      </c>
      <c r="O205" s="104">
        <v>6.9</v>
      </c>
      <c r="P205" s="75">
        <v>6.9930000000000003</v>
      </c>
      <c r="Q205" s="75">
        <v>6.8869999999999996</v>
      </c>
      <c r="R205" s="75">
        <v>0.124</v>
      </c>
      <c r="S205" s="75">
        <v>0.51800000000000002</v>
      </c>
      <c r="T205" s="105">
        <v>0.65700000000000003</v>
      </c>
      <c r="U205" s="104">
        <v>7.3719999999999999</v>
      </c>
      <c r="V205" s="75">
        <v>7.5949999999999998</v>
      </c>
      <c r="W205" s="75">
        <v>7.4870000000000001</v>
      </c>
      <c r="X205" s="75">
        <v>2.06</v>
      </c>
      <c r="Y205" s="75">
        <v>2.0470000000000002</v>
      </c>
      <c r="Z205" s="105">
        <v>1.8220000000000001</v>
      </c>
      <c r="AA205" s="104">
        <v>6.92</v>
      </c>
      <c r="AB205" s="75">
        <v>6.97</v>
      </c>
      <c r="AC205" s="75">
        <v>6.99</v>
      </c>
      <c r="AD205" s="75">
        <v>10.99</v>
      </c>
      <c r="AE205" s="75">
        <v>11.88</v>
      </c>
      <c r="AF205" s="105">
        <v>11.83</v>
      </c>
    </row>
    <row r="206" spans="2:32" x14ac:dyDescent="0.3">
      <c r="B206" s="111">
        <v>33.500000000000064</v>
      </c>
      <c r="C206" s="104">
        <v>10.77</v>
      </c>
      <c r="D206" s="75">
        <v>10.7</v>
      </c>
      <c r="E206" s="75">
        <v>10.95</v>
      </c>
      <c r="F206" s="75">
        <v>11.15</v>
      </c>
      <c r="G206" s="75">
        <v>11.86</v>
      </c>
      <c r="H206" s="105">
        <v>10.02</v>
      </c>
      <c r="I206" s="104">
        <v>10.69</v>
      </c>
      <c r="J206" s="75">
        <v>10.66</v>
      </c>
      <c r="K206" s="75">
        <v>10.78</v>
      </c>
      <c r="L206" s="75">
        <v>13.23</v>
      </c>
      <c r="M206" s="75">
        <v>13.35</v>
      </c>
      <c r="N206" s="105">
        <v>14.2</v>
      </c>
      <c r="O206" s="104">
        <v>6.9930000000000003</v>
      </c>
      <c r="P206" s="75">
        <v>6.9850000000000003</v>
      </c>
      <c r="Q206" s="75">
        <v>6.9720000000000004</v>
      </c>
      <c r="R206" s="75">
        <v>0.66600000000000004</v>
      </c>
      <c r="S206" s="75">
        <v>0.92300000000000004</v>
      </c>
      <c r="T206" s="105">
        <v>0.83499999999999996</v>
      </c>
      <c r="U206" s="104">
        <v>7.5439999999999996</v>
      </c>
      <c r="V206" s="75">
        <v>7.6550000000000002</v>
      </c>
      <c r="W206" s="75">
        <v>7.5380000000000003</v>
      </c>
      <c r="X206" s="75">
        <v>2.968</v>
      </c>
      <c r="Y206" s="75">
        <v>3.605</v>
      </c>
      <c r="Z206" s="105">
        <v>3.0110000000000001</v>
      </c>
      <c r="AA206" s="104">
        <v>7.06</v>
      </c>
      <c r="AB206" s="75">
        <v>7.09</v>
      </c>
      <c r="AC206" s="75">
        <v>7.11</v>
      </c>
      <c r="AD206" s="75">
        <v>11.16</v>
      </c>
      <c r="AE206" s="75">
        <v>12.26</v>
      </c>
      <c r="AF206" s="105">
        <v>12.62</v>
      </c>
    </row>
    <row r="207" spans="2:32" x14ac:dyDescent="0.3">
      <c r="B207" s="111">
        <v>33.666666666666728</v>
      </c>
      <c r="C207" s="104">
        <v>11.01</v>
      </c>
      <c r="D207" s="75">
        <v>10.94</v>
      </c>
      <c r="E207" s="75">
        <v>11.19</v>
      </c>
      <c r="F207" s="75">
        <v>9.4600000000000009</v>
      </c>
      <c r="G207" s="75">
        <v>10.199999999999999</v>
      </c>
      <c r="H207" s="105">
        <v>8.5399999999999991</v>
      </c>
      <c r="I207" s="104">
        <v>10.8</v>
      </c>
      <c r="J207" s="75">
        <v>10.77</v>
      </c>
      <c r="K207" s="75">
        <v>10.89</v>
      </c>
      <c r="L207" s="75">
        <v>14.39</v>
      </c>
      <c r="M207" s="75">
        <v>14.26</v>
      </c>
      <c r="N207" s="105">
        <v>14.83</v>
      </c>
      <c r="O207" s="104">
        <v>6.9960000000000004</v>
      </c>
      <c r="P207" s="75">
        <v>6.9859999999999998</v>
      </c>
      <c r="Q207" s="75">
        <v>6.97</v>
      </c>
      <c r="R207" s="75">
        <v>0.76900000000000002</v>
      </c>
      <c r="S207" s="75">
        <v>0.88</v>
      </c>
      <c r="T207" s="105">
        <v>0.72599999999999998</v>
      </c>
      <c r="U207" s="104">
        <v>7.6109999999999998</v>
      </c>
      <c r="V207" s="75">
        <v>7.6760000000000002</v>
      </c>
      <c r="W207" s="75">
        <v>7.5490000000000004</v>
      </c>
      <c r="X207" s="75">
        <v>3.883</v>
      </c>
      <c r="Y207" s="75">
        <v>4.6050000000000004</v>
      </c>
      <c r="Z207" s="105">
        <v>3.9279999999999999</v>
      </c>
      <c r="AA207" s="104">
        <v>7.18</v>
      </c>
      <c r="AB207" s="75">
        <v>7.2</v>
      </c>
      <c r="AC207" s="75">
        <v>7.23</v>
      </c>
      <c r="AD207" s="75">
        <v>11.07</v>
      </c>
      <c r="AE207" s="75">
        <v>12.31</v>
      </c>
      <c r="AF207" s="105">
        <v>13.38</v>
      </c>
    </row>
    <row r="208" spans="2:32" x14ac:dyDescent="0.3">
      <c r="B208" s="111">
        <v>33.833333333333393</v>
      </c>
      <c r="C208" s="104">
        <v>11.25</v>
      </c>
      <c r="D208" s="75">
        <v>11.18</v>
      </c>
      <c r="E208" s="75">
        <v>11.44</v>
      </c>
      <c r="F208" s="75">
        <v>7.9580000000000002</v>
      </c>
      <c r="G208" s="75">
        <v>8.5500000000000007</v>
      </c>
      <c r="H208" s="105">
        <v>6.9690000000000003</v>
      </c>
      <c r="I208" s="104">
        <v>10.91</v>
      </c>
      <c r="J208" s="75">
        <v>10.88</v>
      </c>
      <c r="K208" s="75">
        <v>11</v>
      </c>
      <c r="L208" s="75">
        <v>15.07</v>
      </c>
      <c r="M208" s="75">
        <v>14.86</v>
      </c>
      <c r="N208" s="105">
        <v>15.7</v>
      </c>
      <c r="O208" s="104">
        <v>6.9980000000000002</v>
      </c>
      <c r="P208" s="75">
        <v>7.0090000000000003</v>
      </c>
      <c r="Q208" s="75">
        <v>6.9710000000000001</v>
      </c>
      <c r="R208" s="75">
        <v>0.88500000000000001</v>
      </c>
      <c r="S208" s="75">
        <v>1.151</v>
      </c>
      <c r="T208" s="105">
        <v>1.6579999999999999</v>
      </c>
      <c r="U208" s="104">
        <v>7.63</v>
      </c>
      <c r="V208" s="75">
        <v>7.6920000000000002</v>
      </c>
      <c r="W208" s="75">
        <v>7.5780000000000003</v>
      </c>
      <c r="X208" s="75">
        <v>4.8730000000000002</v>
      </c>
      <c r="Y208" s="75">
        <v>5.9980000000000002</v>
      </c>
      <c r="Z208" s="105">
        <v>5.0529999999999999</v>
      </c>
      <c r="AA208" s="104">
        <v>7.31</v>
      </c>
      <c r="AB208" s="75">
        <v>7.34</v>
      </c>
      <c r="AC208" s="75">
        <v>7.35</v>
      </c>
      <c r="AD208" s="75">
        <v>12</v>
      </c>
      <c r="AE208" s="75">
        <v>14.01</v>
      </c>
      <c r="AF208" s="105">
        <v>13.65</v>
      </c>
    </row>
    <row r="209" spans="2:32" x14ac:dyDescent="0.3">
      <c r="B209" s="111">
        <v>34.000000000000057</v>
      </c>
      <c r="C209" s="104">
        <v>11.49</v>
      </c>
      <c r="D209" s="75">
        <v>11.42</v>
      </c>
      <c r="E209" s="75">
        <v>11.67</v>
      </c>
      <c r="F209" s="75">
        <v>6.3179999999999996</v>
      </c>
      <c r="G209" s="75">
        <v>6.9690000000000003</v>
      </c>
      <c r="H209" s="105">
        <v>5.5449999999999999</v>
      </c>
      <c r="I209" s="104">
        <v>11.02</v>
      </c>
      <c r="J209" s="75">
        <v>10.98</v>
      </c>
      <c r="K209" s="75">
        <v>11.1</v>
      </c>
      <c r="L209" s="75">
        <v>15.94</v>
      </c>
      <c r="M209" s="75">
        <v>15.56</v>
      </c>
      <c r="N209" s="105">
        <v>16.399999999999999</v>
      </c>
      <c r="O209" s="104">
        <v>7.0330000000000004</v>
      </c>
      <c r="P209" s="75">
        <v>7.07</v>
      </c>
      <c r="Q209" s="75">
        <v>7.0149999999999997</v>
      </c>
      <c r="R209" s="75">
        <v>1.278</v>
      </c>
      <c r="S209" s="75">
        <v>1.849</v>
      </c>
      <c r="T209" s="105">
        <v>1.4159999999999999</v>
      </c>
      <c r="U209" s="104">
        <v>7.6520000000000001</v>
      </c>
      <c r="V209" s="75">
        <v>7.7290000000000001</v>
      </c>
      <c r="W209" s="75">
        <v>7.6189999999999998</v>
      </c>
      <c r="X209" s="75">
        <v>5.7130000000000001</v>
      </c>
      <c r="Y209" s="75">
        <v>6.6050000000000004</v>
      </c>
      <c r="Z209" s="105">
        <v>5.7619999999999996</v>
      </c>
      <c r="AA209" s="104">
        <v>7.44</v>
      </c>
      <c r="AB209" s="75">
        <v>7.45</v>
      </c>
      <c r="AC209" s="75">
        <v>7.46</v>
      </c>
      <c r="AD209" s="75">
        <v>13.18</v>
      </c>
      <c r="AE209" s="75">
        <v>14.99</v>
      </c>
      <c r="AF209" s="105">
        <v>14.07</v>
      </c>
    </row>
    <row r="210" spans="2:32" x14ac:dyDescent="0.3">
      <c r="B210" s="111">
        <v>34.166666666666721</v>
      </c>
      <c r="C210" s="104">
        <v>11.7</v>
      </c>
      <c r="D210" s="75">
        <v>11.65</v>
      </c>
      <c r="E210" s="75">
        <v>11.88</v>
      </c>
      <c r="F210" s="75">
        <v>5.1630000000000003</v>
      </c>
      <c r="G210" s="75">
        <v>5.6849999999999996</v>
      </c>
      <c r="H210" s="105">
        <v>4.7770000000000001</v>
      </c>
      <c r="I210" s="104">
        <v>11.12</v>
      </c>
      <c r="J210" s="75">
        <v>11.08</v>
      </c>
      <c r="K210" s="75">
        <v>11.21</v>
      </c>
      <c r="L210" s="75">
        <v>16.579999999999998</v>
      </c>
      <c r="M210" s="75">
        <v>16.309999999999999</v>
      </c>
      <c r="N210" s="105">
        <v>17.2</v>
      </c>
      <c r="O210" s="104">
        <v>7.0970000000000004</v>
      </c>
      <c r="P210" s="75">
        <v>7.1459999999999999</v>
      </c>
      <c r="Q210" s="75">
        <v>7.0780000000000003</v>
      </c>
      <c r="R210" s="75">
        <v>1.903</v>
      </c>
      <c r="S210" s="75">
        <v>2.4780000000000002</v>
      </c>
      <c r="T210" s="105">
        <v>2.0699999999999998</v>
      </c>
      <c r="U210" s="104">
        <v>7.7</v>
      </c>
      <c r="V210" s="75">
        <v>7.78</v>
      </c>
      <c r="W210" s="75">
        <v>7.6929999999999996</v>
      </c>
      <c r="X210" s="75">
        <v>6.3680000000000003</v>
      </c>
      <c r="Y210" s="75">
        <v>7.1459999999999999</v>
      </c>
      <c r="Z210" s="105">
        <v>6.5170000000000003</v>
      </c>
      <c r="AA210" s="104">
        <v>7.55</v>
      </c>
      <c r="AB210" s="75">
        <v>7.57</v>
      </c>
      <c r="AC210" s="75">
        <v>7.58</v>
      </c>
      <c r="AD210" s="75">
        <v>12.97</v>
      </c>
      <c r="AE210" s="75">
        <v>15.34</v>
      </c>
      <c r="AF210" s="105">
        <v>14.68</v>
      </c>
    </row>
    <row r="211" spans="2:32" x14ac:dyDescent="0.3">
      <c r="B211" s="111">
        <v>34.333333333333385</v>
      </c>
      <c r="C211" s="104">
        <v>11.89</v>
      </c>
      <c r="D211" s="75">
        <v>11.86</v>
      </c>
      <c r="E211" s="75">
        <v>12.06</v>
      </c>
      <c r="F211" s="75">
        <v>4.1840000000000002</v>
      </c>
      <c r="G211" s="75">
        <v>4.827</v>
      </c>
      <c r="H211" s="105">
        <v>4.2990000000000004</v>
      </c>
      <c r="I211" s="104">
        <v>11.22</v>
      </c>
      <c r="J211" s="75">
        <v>11.18</v>
      </c>
      <c r="K211" s="75">
        <v>11.3</v>
      </c>
      <c r="L211" s="75">
        <v>17.39</v>
      </c>
      <c r="M211" s="75">
        <v>17.02</v>
      </c>
      <c r="N211" s="105">
        <v>18.27</v>
      </c>
      <c r="O211" s="104">
        <v>7.1660000000000004</v>
      </c>
      <c r="P211" s="75">
        <v>7.2439999999999998</v>
      </c>
      <c r="Q211" s="75">
        <v>7.1630000000000003</v>
      </c>
      <c r="R211" s="75">
        <v>2.2719999999999998</v>
      </c>
      <c r="S211" s="75">
        <v>3.2250000000000001</v>
      </c>
      <c r="T211" s="105">
        <v>2.7050000000000001</v>
      </c>
      <c r="U211" s="104">
        <v>7.7549999999999999</v>
      </c>
      <c r="V211" s="75">
        <v>7.86</v>
      </c>
      <c r="W211" s="75">
        <v>7.7809999999999997</v>
      </c>
      <c r="X211" s="75">
        <v>6.7839999999999998</v>
      </c>
      <c r="Y211" s="75">
        <v>7.84</v>
      </c>
      <c r="Z211" s="105">
        <v>7.1539999999999999</v>
      </c>
      <c r="AA211" s="104">
        <v>7.66</v>
      </c>
      <c r="AB211" s="75">
        <v>7.67</v>
      </c>
      <c r="AC211" s="75">
        <v>7.7</v>
      </c>
      <c r="AD211" s="75">
        <v>14.54</v>
      </c>
      <c r="AE211" s="75">
        <v>15.76</v>
      </c>
      <c r="AF211" s="105">
        <v>15.88</v>
      </c>
    </row>
    <row r="212" spans="2:32" x14ac:dyDescent="0.3">
      <c r="B212" s="111">
        <v>34.50000000000005</v>
      </c>
      <c r="C212" s="104">
        <v>12.06</v>
      </c>
      <c r="D212" s="75">
        <v>12.03</v>
      </c>
      <c r="E212" s="75">
        <v>12.25</v>
      </c>
      <c r="F212" s="75">
        <v>4.0880000000000001</v>
      </c>
      <c r="G212" s="75">
        <v>4.2359999999999998</v>
      </c>
      <c r="H212" s="105">
        <v>4.3319999999999999</v>
      </c>
      <c r="I212" s="104">
        <v>11.32</v>
      </c>
      <c r="J212" s="75">
        <v>11.28</v>
      </c>
      <c r="K212" s="75">
        <v>11.42</v>
      </c>
      <c r="L212" s="75">
        <v>18.23</v>
      </c>
      <c r="M212" s="75">
        <v>18.02</v>
      </c>
      <c r="N212" s="105">
        <v>19.12</v>
      </c>
      <c r="O212" s="104">
        <v>7.2610000000000001</v>
      </c>
      <c r="P212" s="75">
        <v>7.3579999999999997</v>
      </c>
      <c r="Q212" s="75">
        <v>7.2619999999999996</v>
      </c>
      <c r="R212" s="75">
        <v>3.0550000000000002</v>
      </c>
      <c r="S212" s="75">
        <v>3.7370000000000001</v>
      </c>
      <c r="T212" s="105">
        <v>3.29</v>
      </c>
      <c r="U212" s="104">
        <v>7.8310000000000004</v>
      </c>
      <c r="V212" s="75">
        <v>7.9640000000000004</v>
      </c>
      <c r="W212" s="75">
        <v>7.89</v>
      </c>
      <c r="X212" s="75">
        <v>7.4580000000000002</v>
      </c>
      <c r="Y212" s="75">
        <v>8.3800000000000008</v>
      </c>
      <c r="Z212" s="105">
        <v>7.4640000000000004</v>
      </c>
      <c r="AA212" s="104">
        <v>7.77</v>
      </c>
      <c r="AB212" s="75">
        <v>7.79</v>
      </c>
      <c r="AC212" s="75">
        <v>7.79</v>
      </c>
      <c r="AD212" s="75">
        <v>15.12</v>
      </c>
      <c r="AE212" s="75">
        <v>16.940000000000001</v>
      </c>
      <c r="AF212" s="105">
        <v>16.079999999999998</v>
      </c>
    </row>
    <row r="213" spans="2:32" x14ac:dyDescent="0.3">
      <c r="B213" s="111">
        <v>34.666666666666714</v>
      </c>
      <c r="C213" s="104">
        <v>12.24</v>
      </c>
      <c r="D213" s="75">
        <v>12.29</v>
      </c>
      <c r="E213" s="75">
        <v>12.42</v>
      </c>
      <c r="F213" s="75">
        <v>4.1989999999999998</v>
      </c>
      <c r="G213" s="75">
        <v>4.2009999999999996</v>
      </c>
      <c r="H213" s="105">
        <v>3.9380000000000002</v>
      </c>
      <c r="I213" s="104">
        <v>11.42</v>
      </c>
      <c r="J213" s="75">
        <v>11.43</v>
      </c>
      <c r="K213" s="75">
        <v>11.51</v>
      </c>
      <c r="L213" s="75">
        <v>19.57</v>
      </c>
      <c r="M213" s="75">
        <v>18.88</v>
      </c>
      <c r="N213" s="105">
        <v>20.138999999999999</v>
      </c>
      <c r="O213" s="104">
        <v>7.3680000000000003</v>
      </c>
      <c r="P213" s="75">
        <v>7.4829999999999997</v>
      </c>
      <c r="Q213" s="75">
        <v>7.375</v>
      </c>
      <c r="R213" s="75">
        <v>3.5179999999999998</v>
      </c>
      <c r="S213" s="75">
        <v>4.3499999999999996</v>
      </c>
      <c r="T213" s="105">
        <v>3.67</v>
      </c>
      <c r="U213" s="104">
        <v>7.93</v>
      </c>
      <c r="V213" s="75">
        <v>8.08</v>
      </c>
      <c r="W213" s="75">
        <v>8</v>
      </c>
      <c r="X213" s="75">
        <v>7.9509999999999996</v>
      </c>
      <c r="Y213" s="75">
        <v>8.77</v>
      </c>
      <c r="Z213" s="105">
        <v>7.76</v>
      </c>
      <c r="AA213" s="104">
        <v>7.88</v>
      </c>
      <c r="AB213" s="75">
        <v>7.88</v>
      </c>
      <c r="AC213" s="75">
        <v>7.91</v>
      </c>
      <c r="AD213" s="75">
        <v>16.29</v>
      </c>
      <c r="AE213" s="75">
        <v>16.920000000000002</v>
      </c>
      <c r="AF213" s="105">
        <v>17.38</v>
      </c>
    </row>
    <row r="214" spans="2:32" x14ac:dyDescent="0.3">
      <c r="B214" s="111">
        <v>34.833333333333378</v>
      </c>
      <c r="C214" s="104">
        <v>12.4</v>
      </c>
      <c r="D214" s="75">
        <v>12.53</v>
      </c>
      <c r="E214" s="75">
        <v>12.57</v>
      </c>
      <c r="F214" s="75">
        <v>3.81</v>
      </c>
      <c r="G214" s="75">
        <v>3.7559999999999998</v>
      </c>
      <c r="H214" s="105">
        <v>3.589</v>
      </c>
      <c r="I214" s="104">
        <v>11.52</v>
      </c>
      <c r="J214" s="75">
        <v>11.57</v>
      </c>
      <c r="K214" s="75">
        <v>11.6</v>
      </c>
      <c r="L214" s="75">
        <v>20.530999999999999</v>
      </c>
      <c r="M214" s="75">
        <v>20.79</v>
      </c>
      <c r="N214" s="105">
        <v>20.959</v>
      </c>
      <c r="O214" s="104">
        <v>7.4809999999999999</v>
      </c>
      <c r="P214" s="75">
        <v>7.6319999999999997</v>
      </c>
      <c r="Q214" s="75">
        <v>7.4880000000000004</v>
      </c>
      <c r="R214" s="75">
        <v>4.0289999999999999</v>
      </c>
      <c r="S214" s="75">
        <v>4.9980000000000002</v>
      </c>
      <c r="T214" s="105">
        <v>4.0670000000000002</v>
      </c>
      <c r="U214" s="104">
        <v>8.0299999999999994</v>
      </c>
      <c r="V214" s="75">
        <v>8.2200000000000006</v>
      </c>
      <c r="W214" s="75">
        <v>8.14</v>
      </c>
      <c r="X214" s="75">
        <v>8.1999999999999993</v>
      </c>
      <c r="Y214" s="75">
        <v>9.2899999999999991</v>
      </c>
      <c r="Z214" s="105">
        <v>8.41</v>
      </c>
      <c r="AA214" s="104">
        <v>7.99</v>
      </c>
      <c r="AB214" s="75">
        <v>7.98</v>
      </c>
      <c r="AC214" s="75">
        <v>8.01</v>
      </c>
      <c r="AD214" s="75">
        <v>17.11</v>
      </c>
      <c r="AE214" s="75">
        <v>16.97</v>
      </c>
      <c r="AF214" s="105">
        <v>18.27</v>
      </c>
    </row>
    <row r="215" spans="2:32" x14ac:dyDescent="0.3">
      <c r="B215" s="111">
        <v>35.000000000000043</v>
      </c>
      <c r="C215" s="104">
        <v>12.56</v>
      </c>
      <c r="D215" s="75">
        <v>12.69</v>
      </c>
      <c r="E215" s="75">
        <v>12.72</v>
      </c>
      <c r="F215" s="75">
        <v>3.6339999999999999</v>
      </c>
      <c r="G215" s="75">
        <v>3.7570000000000001</v>
      </c>
      <c r="H215" s="105">
        <v>3.516</v>
      </c>
      <c r="I215" s="104">
        <v>11.62</v>
      </c>
      <c r="J215" s="75">
        <v>11.67</v>
      </c>
      <c r="K215" s="75">
        <v>11.7</v>
      </c>
      <c r="L215" s="75">
        <v>21.678000000000001</v>
      </c>
      <c r="M215" s="75">
        <v>21.678000000000001</v>
      </c>
      <c r="N215" s="105">
        <v>21.878</v>
      </c>
      <c r="O215" s="104">
        <v>7.6310000000000002</v>
      </c>
      <c r="P215" s="75">
        <v>7.7750000000000004</v>
      </c>
      <c r="Q215" s="75">
        <v>7.6310000000000002</v>
      </c>
      <c r="R215" s="75">
        <v>4.8390000000000004</v>
      </c>
      <c r="S215" s="75">
        <v>5.2130000000000001</v>
      </c>
      <c r="T215" s="105">
        <v>4.7910000000000004</v>
      </c>
      <c r="U215" s="104">
        <v>8.17</v>
      </c>
      <c r="V215" s="75">
        <v>8.36</v>
      </c>
      <c r="W215" s="75">
        <v>8.27</v>
      </c>
      <c r="X215" s="75">
        <v>8.91</v>
      </c>
      <c r="Y215" s="75">
        <v>9.43</v>
      </c>
      <c r="Z215" s="105">
        <v>8.35</v>
      </c>
      <c r="AA215" s="104">
        <v>8.09</v>
      </c>
      <c r="AB215" s="75">
        <v>8.1</v>
      </c>
      <c r="AC215" s="75">
        <v>8.1</v>
      </c>
      <c r="AD215" s="75">
        <v>18.16</v>
      </c>
      <c r="AE215" s="75">
        <v>19.059999999999999</v>
      </c>
      <c r="AF215" s="105">
        <v>18.04</v>
      </c>
    </row>
    <row r="216" spans="2:32" x14ac:dyDescent="0.3">
      <c r="B216" s="111">
        <v>35.166666666666707</v>
      </c>
      <c r="C216" s="104">
        <v>12.71</v>
      </c>
      <c r="D216" s="75">
        <v>12.83</v>
      </c>
      <c r="E216" s="75">
        <v>12.86</v>
      </c>
      <c r="F216" s="75">
        <v>3.6819999999999999</v>
      </c>
      <c r="G216" s="75">
        <v>3.5369999999999999</v>
      </c>
      <c r="H216" s="105">
        <v>3.4249999999999998</v>
      </c>
      <c r="I216" s="104">
        <v>11.71</v>
      </c>
      <c r="J216" s="75">
        <v>11.76</v>
      </c>
      <c r="K216" s="75">
        <v>11.78</v>
      </c>
      <c r="L216" s="75">
        <v>23.824999999999999</v>
      </c>
      <c r="M216" s="75">
        <v>23.824999999999999</v>
      </c>
      <c r="N216" s="105">
        <v>22.524000000000001</v>
      </c>
      <c r="O216" s="104">
        <v>7.7670000000000003</v>
      </c>
      <c r="P216" s="75">
        <v>7.9169999999999998</v>
      </c>
      <c r="Q216" s="75">
        <v>7.7619999999999996</v>
      </c>
      <c r="R216" s="75">
        <v>5.0590000000000002</v>
      </c>
      <c r="S216" s="75">
        <v>5.2560000000000002</v>
      </c>
      <c r="T216" s="105">
        <v>4.8929999999999998</v>
      </c>
      <c r="U216" s="104">
        <v>8.3000000000000007</v>
      </c>
      <c r="V216" s="75">
        <v>8.5</v>
      </c>
      <c r="W216" s="75">
        <v>8.4</v>
      </c>
      <c r="X216" s="75">
        <v>8.9499999999999993</v>
      </c>
      <c r="Y216" s="75">
        <v>9.2200000000000006</v>
      </c>
      <c r="Z216" s="105">
        <v>8.36</v>
      </c>
      <c r="AA216" s="104">
        <v>8.1999999999999993</v>
      </c>
      <c r="AB216" s="75">
        <v>8.1999999999999993</v>
      </c>
      <c r="AC216" s="75">
        <v>8.2200000000000006</v>
      </c>
      <c r="AD216" s="75">
        <v>19.190000000000001</v>
      </c>
      <c r="AE216" s="75">
        <v>20.6</v>
      </c>
      <c r="AF216" s="105">
        <v>19.39</v>
      </c>
    </row>
    <row r="217" spans="2:32" x14ac:dyDescent="0.3">
      <c r="B217" s="111">
        <v>35.333333333333371</v>
      </c>
      <c r="C217" s="104">
        <v>12.85</v>
      </c>
      <c r="D217" s="75">
        <v>12.97</v>
      </c>
      <c r="E217" s="75">
        <v>13.01</v>
      </c>
      <c r="F217" s="75">
        <v>3.395</v>
      </c>
      <c r="G217" s="75">
        <v>3.6059999999999999</v>
      </c>
      <c r="H217" s="105">
        <v>3.4340000000000002</v>
      </c>
      <c r="I217" s="104">
        <v>11.81</v>
      </c>
      <c r="J217" s="75">
        <v>11.85</v>
      </c>
      <c r="K217" s="75">
        <v>11.88</v>
      </c>
      <c r="L217" s="75">
        <v>24.521999999999998</v>
      </c>
      <c r="M217" s="75">
        <v>24.951000000000001</v>
      </c>
      <c r="N217" s="105">
        <v>23.716999999999999</v>
      </c>
      <c r="O217" s="104">
        <v>7.9</v>
      </c>
      <c r="P217" s="75">
        <v>8.06</v>
      </c>
      <c r="Q217" s="75">
        <v>7.9020000000000001</v>
      </c>
      <c r="R217" s="75">
        <v>5.0380000000000003</v>
      </c>
      <c r="S217" s="75">
        <v>5.3319999999999999</v>
      </c>
      <c r="T217" s="105">
        <v>5.0289999999999999</v>
      </c>
      <c r="U217" s="104">
        <v>8.43</v>
      </c>
      <c r="V217" s="75">
        <v>8.64</v>
      </c>
      <c r="W217" s="75">
        <v>8.5500000000000007</v>
      </c>
      <c r="X217" s="75">
        <v>8.74</v>
      </c>
      <c r="Y217" s="75">
        <v>9.15</v>
      </c>
      <c r="Z217" s="105">
        <v>8.4499999999999993</v>
      </c>
      <c r="AA217" s="104">
        <v>8.2899999999999991</v>
      </c>
      <c r="AB217" s="75">
        <v>8.3000000000000007</v>
      </c>
      <c r="AC217" s="75">
        <v>8.3000000000000007</v>
      </c>
      <c r="AD217" s="75">
        <v>19.54</v>
      </c>
      <c r="AE217" s="75">
        <v>20.98</v>
      </c>
      <c r="AF217" s="105">
        <v>19.8</v>
      </c>
    </row>
    <row r="218" spans="2:32" x14ac:dyDescent="0.3">
      <c r="B218" s="111">
        <v>35.500000000000036</v>
      </c>
      <c r="C218" s="104">
        <v>13</v>
      </c>
      <c r="D218" s="75">
        <v>13.11</v>
      </c>
      <c r="E218" s="75">
        <v>13.16</v>
      </c>
      <c r="F218" s="75">
        <v>3.548</v>
      </c>
      <c r="G218" s="75">
        <v>3.484</v>
      </c>
      <c r="H218" s="105">
        <v>3.496</v>
      </c>
      <c r="I218" s="104">
        <v>11.9</v>
      </c>
      <c r="J218" s="75">
        <v>11.94</v>
      </c>
      <c r="K218" s="75">
        <v>11.97</v>
      </c>
      <c r="L218" s="75">
        <v>25.603999999999999</v>
      </c>
      <c r="M218" s="75">
        <v>25.603999999999999</v>
      </c>
      <c r="N218" s="105">
        <v>24.635999999999999</v>
      </c>
      <c r="O218" s="104">
        <v>8.0399999999999991</v>
      </c>
      <c r="P218" s="75">
        <v>8.1999999999999993</v>
      </c>
      <c r="Q218" s="75">
        <v>8.0399999999999991</v>
      </c>
      <c r="R218" s="75">
        <v>5.3390000000000004</v>
      </c>
      <c r="S218" s="75">
        <v>5.3559999999999999</v>
      </c>
      <c r="T218" s="105">
        <v>5.141</v>
      </c>
      <c r="U218" s="104">
        <v>8.57</v>
      </c>
      <c r="V218" s="75">
        <v>8.7799999999999994</v>
      </c>
      <c r="W218" s="75">
        <v>8.68</v>
      </c>
      <c r="X218" s="75">
        <v>8.9</v>
      </c>
      <c r="Y218" s="75">
        <v>9.11</v>
      </c>
      <c r="Z218" s="105">
        <v>8.2200000000000006</v>
      </c>
      <c r="AA218" s="104">
        <v>8.39</v>
      </c>
      <c r="AB218" s="75">
        <v>8.4</v>
      </c>
      <c r="AC218" s="75">
        <v>8.4</v>
      </c>
      <c r="AD218" s="75">
        <v>20.55</v>
      </c>
      <c r="AE218" s="75">
        <v>21.52</v>
      </c>
      <c r="AF218" s="105">
        <v>21.37</v>
      </c>
    </row>
    <row r="219" spans="2:32" x14ac:dyDescent="0.3">
      <c r="B219" s="111">
        <v>35.6666666666667</v>
      </c>
      <c r="C219" s="104">
        <v>13.13</v>
      </c>
      <c r="D219" s="75">
        <v>13.27</v>
      </c>
      <c r="E219" s="75">
        <v>13.31</v>
      </c>
      <c r="F219" s="75">
        <v>3.4340000000000002</v>
      </c>
      <c r="G219" s="75">
        <v>3.8809999999999998</v>
      </c>
      <c r="H219" s="105">
        <v>3.806</v>
      </c>
      <c r="I219" s="104">
        <v>11.98</v>
      </c>
      <c r="J219" s="75">
        <v>12.04</v>
      </c>
      <c r="K219" s="75">
        <v>12.07</v>
      </c>
      <c r="L219" s="75">
        <v>27.178000000000001</v>
      </c>
      <c r="M219" s="75">
        <v>27.178000000000001</v>
      </c>
      <c r="N219" s="105">
        <v>25.509</v>
      </c>
      <c r="O219" s="104">
        <v>8.18</v>
      </c>
      <c r="P219" s="75">
        <v>8.33</v>
      </c>
      <c r="Q219" s="75">
        <v>8.18</v>
      </c>
      <c r="R219" s="75">
        <v>5.2069999999999999</v>
      </c>
      <c r="S219" s="75">
        <v>5.181</v>
      </c>
      <c r="T219" s="105">
        <v>5.1379999999999999</v>
      </c>
      <c r="U219" s="104">
        <v>8.7100000000000009</v>
      </c>
      <c r="V219" s="75">
        <v>8.91</v>
      </c>
      <c r="W219" s="75">
        <v>8.82</v>
      </c>
      <c r="X219" s="75">
        <v>8.67</v>
      </c>
      <c r="Y219" s="75">
        <v>8.76</v>
      </c>
      <c r="Z219" s="105">
        <v>8.4499999999999993</v>
      </c>
      <c r="AA219" s="104">
        <v>8.48</v>
      </c>
      <c r="AB219" s="75">
        <v>8.49</v>
      </c>
      <c r="AC219" s="75">
        <v>8.49</v>
      </c>
      <c r="AD219" s="75">
        <v>21.12</v>
      </c>
      <c r="AE219" s="75">
        <v>22.4</v>
      </c>
      <c r="AF219" s="105">
        <v>21.76</v>
      </c>
    </row>
    <row r="220" spans="2:32" x14ac:dyDescent="0.3">
      <c r="B220" s="111">
        <v>35.833333333333364</v>
      </c>
      <c r="C220" s="104">
        <v>13.3</v>
      </c>
      <c r="D220" s="75">
        <v>13.43</v>
      </c>
      <c r="E220" s="75">
        <v>13.46</v>
      </c>
      <c r="F220" s="75">
        <v>4.085</v>
      </c>
      <c r="G220" s="75">
        <v>4.1020000000000003</v>
      </c>
      <c r="H220" s="105">
        <v>3.8490000000000002</v>
      </c>
      <c r="I220" s="104">
        <v>12.09</v>
      </c>
      <c r="J220" s="75">
        <v>12.15</v>
      </c>
      <c r="K220" s="75">
        <v>12.19</v>
      </c>
      <c r="L220" s="75">
        <v>28.312000000000001</v>
      </c>
      <c r="M220" s="75">
        <v>28.198</v>
      </c>
      <c r="N220" s="105">
        <v>26.526</v>
      </c>
      <c r="O220" s="104">
        <v>8.32</v>
      </c>
      <c r="P220" s="75">
        <v>8.4700000000000006</v>
      </c>
      <c r="Q220" s="75">
        <v>8.32</v>
      </c>
      <c r="R220" s="75">
        <v>5.4649999999999999</v>
      </c>
      <c r="S220" s="75">
        <v>5.2569999999999997</v>
      </c>
      <c r="T220" s="105">
        <v>5.3789999999999996</v>
      </c>
      <c r="U220" s="104">
        <v>8.85</v>
      </c>
      <c r="V220" s="75">
        <v>9.0399999999999991</v>
      </c>
      <c r="W220" s="75">
        <v>8.9700000000000006</v>
      </c>
      <c r="X220" s="75">
        <v>8.92</v>
      </c>
      <c r="Y220" s="75">
        <v>8.7899999999999991</v>
      </c>
      <c r="Z220" s="105">
        <v>8.4499999999999993</v>
      </c>
      <c r="AA220" s="104">
        <v>8.59</v>
      </c>
      <c r="AB220" s="75">
        <v>8.57</v>
      </c>
      <c r="AC220" s="75">
        <v>8.58</v>
      </c>
      <c r="AD220" s="75">
        <v>22.8</v>
      </c>
      <c r="AE220" s="75">
        <v>23.43</v>
      </c>
      <c r="AF220" s="105">
        <v>22.72</v>
      </c>
    </row>
    <row r="221" spans="2:32" x14ac:dyDescent="0.3">
      <c r="B221" s="111">
        <v>36.000000000000028</v>
      </c>
      <c r="C221" s="104">
        <v>13.45</v>
      </c>
      <c r="D221" s="75">
        <v>13.58</v>
      </c>
      <c r="E221" s="75">
        <v>13.61</v>
      </c>
      <c r="F221" s="75">
        <v>3.7719999999999998</v>
      </c>
      <c r="G221" s="75">
        <v>3.8140000000000001</v>
      </c>
      <c r="H221" s="105">
        <v>3.605</v>
      </c>
      <c r="I221" s="104">
        <v>12.2</v>
      </c>
      <c r="J221" s="75">
        <v>12.27</v>
      </c>
      <c r="K221" s="75">
        <v>12.3</v>
      </c>
      <c r="L221" s="75">
        <v>29.327999999999999</v>
      </c>
      <c r="M221" s="75">
        <v>29.327999999999999</v>
      </c>
      <c r="N221" s="105">
        <v>27.042000000000002</v>
      </c>
      <c r="O221" s="104">
        <v>8.4700000000000006</v>
      </c>
      <c r="P221" s="75">
        <v>8.61</v>
      </c>
      <c r="Q221" s="75">
        <v>8.4700000000000006</v>
      </c>
      <c r="R221" s="75">
        <v>5.4660000000000002</v>
      </c>
      <c r="S221" s="75">
        <v>5.5229999999999997</v>
      </c>
      <c r="T221" s="105">
        <v>5.3719999999999999</v>
      </c>
      <c r="U221" s="104">
        <v>8.99</v>
      </c>
      <c r="V221" s="75">
        <v>9.17</v>
      </c>
      <c r="W221" s="75">
        <v>9.1199999999999992</v>
      </c>
      <c r="X221" s="75">
        <v>8.76</v>
      </c>
      <c r="Y221" s="75">
        <v>9.0399999999999991</v>
      </c>
      <c r="Z221" s="105">
        <v>9</v>
      </c>
      <c r="AA221" s="104">
        <v>8.66</v>
      </c>
      <c r="AB221" s="75">
        <v>8.65</v>
      </c>
      <c r="AC221" s="75">
        <v>8.66</v>
      </c>
      <c r="AD221" s="75">
        <v>23.15</v>
      </c>
      <c r="AE221" s="75">
        <v>23.5</v>
      </c>
      <c r="AF221" s="105">
        <v>23.29</v>
      </c>
    </row>
    <row r="222" spans="2:32" x14ac:dyDescent="0.3">
      <c r="B222" s="111">
        <v>36.166666666666693</v>
      </c>
      <c r="C222" s="104">
        <v>13.6</v>
      </c>
      <c r="D222" s="75">
        <v>13.73</v>
      </c>
      <c r="E222" s="75">
        <v>13.76</v>
      </c>
      <c r="F222" s="75">
        <v>3.7850000000000001</v>
      </c>
      <c r="G222" s="75">
        <v>3.7679999999999998</v>
      </c>
      <c r="H222" s="105">
        <v>3.61</v>
      </c>
      <c r="I222" s="104">
        <v>12.32</v>
      </c>
      <c r="J222" s="75">
        <v>12.4</v>
      </c>
      <c r="K222" s="75">
        <v>12.42</v>
      </c>
      <c r="L222" s="75">
        <v>28.562000000000001</v>
      </c>
      <c r="M222" s="75">
        <v>28.562000000000001</v>
      </c>
      <c r="N222" s="105">
        <v>27.803000000000001</v>
      </c>
      <c r="O222" s="104">
        <v>8.6199999999999992</v>
      </c>
      <c r="P222" s="75">
        <v>8.76</v>
      </c>
      <c r="Q222" s="75">
        <v>8.6300000000000008</v>
      </c>
      <c r="R222" s="75">
        <v>5.9320000000000004</v>
      </c>
      <c r="S222" s="75">
        <v>5.49</v>
      </c>
      <c r="T222" s="105">
        <v>5.95</v>
      </c>
      <c r="U222" s="104">
        <v>9.14</v>
      </c>
      <c r="V222" s="75">
        <v>9.31</v>
      </c>
      <c r="W222" s="75">
        <v>9.27</v>
      </c>
      <c r="X222" s="75">
        <v>9.16</v>
      </c>
      <c r="Y222" s="75">
        <v>9</v>
      </c>
      <c r="Z222" s="105">
        <v>8.89</v>
      </c>
      <c r="AA222" s="104">
        <v>8.77</v>
      </c>
      <c r="AB222" s="75">
        <v>8.77</v>
      </c>
      <c r="AC222" s="75">
        <v>8.75</v>
      </c>
      <c r="AD222" s="75">
        <v>25.46</v>
      </c>
      <c r="AE222" s="75">
        <v>25.547999999999998</v>
      </c>
      <c r="AF222" s="105">
        <v>24.75</v>
      </c>
    </row>
    <row r="223" spans="2:32" x14ac:dyDescent="0.3">
      <c r="B223" s="111">
        <v>36.333333333333357</v>
      </c>
      <c r="C223" s="104">
        <v>13.75</v>
      </c>
      <c r="D223" s="75">
        <v>13.88</v>
      </c>
      <c r="E223" s="75">
        <v>13.9</v>
      </c>
      <c r="F223" s="75">
        <v>3.6970000000000001</v>
      </c>
      <c r="G223" s="75">
        <v>3.819</v>
      </c>
      <c r="H223" s="105">
        <v>3.629</v>
      </c>
      <c r="I223" s="104">
        <v>12.45</v>
      </c>
      <c r="J223" s="75">
        <v>12.55</v>
      </c>
      <c r="K223" s="75">
        <v>12.58</v>
      </c>
      <c r="L223" s="75">
        <v>28.434999999999999</v>
      </c>
      <c r="M223" s="75">
        <v>28.335000000000001</v>
      </c>
      <c r="N223" s="105">
        <v>27.343</v>
      </c>
      <c r="O223" s="104">
        <v>8.7799999999999994</v>
      </c>
      <c r="P223" s="75">
        <v>8.92</v>
      </c>
      <c r="Q223" s="75">
        <v>8.7799999999999994</v>
      </c>
      <c r="R223" s="75">
        <v>5.9539999999999997</v>
      </c>
      <c r="S223" s="75">
        <v>5.45</v>
      </c>
      <c r="T223" s="105">
        <v>5.8949999999999996</v>
      </c>
      <c r="U223" s="104">
        <v>9.2899999999999991</v>
      </c>
      <c r="V223" s="75">
        <v>9.4600000000000009</v>
      </c>
      <c r="W223" s="75">
        <v>9.43</v>
      </c>
      <c r="X223" s="75">
        <v>9.09</v>
      </c>
      <c r="Y223" s="75">
        <v>8.9499999999999993</v>
      </c>
      <c r="Z223" s="105">
        <v>8.76</v>
      </c>
      <c r="AA223" s="104">
        <v>8.8800000000000008</v>
      </c>
      <c r="AB223" s="75">
        <v>8.8800000000000008</v>
      </c>
      <c r="AC223" s="75">
        <v>8.8699999999999992</v>
      </c>
      <c r="AD223" s="75">
        <v>27.742999999999999</v>
      </c>
      <c r="AE223" s="75">
        <v>28.52</v>
      </c>
      <c r="AF223" s="105">
        <v>24.503</v>
      </c>
    </row>
    <row r="224" spans="2:32" x14ac:dyDescent="0.3">
      <c r="B224" s="111">
        <v>36.500000000000021</v>
      </c>
      <c r="C224" s="104">
        <v>13.9</v>
      </c>
      <c r="D224" s="75">
        <v>14.03</v>
      </c>
      <c r="E224" s="75">
        <v>14.05</v>
      </c>
      <c r="F224" s="75">
        <v>3.6280000000000001</v>
      </c>
      <c r="G224" s="75">
        <v>3.5030000000000001</v>
      </c>
      <c r="H224" s="105">
        <v>3.4039999999999999</v>
      </c>
      <c r="I224" s="104">
        <v>12.67</v>
      </c>
      <c r="J224" s="75">
        <v>12.88</v>
      </c>
      <c r="K224" s="75">
        <v>12.94</v>
      </c>
      <c r="L224" s="75">
        <v>25.756</v>
      </c>
      <c r="M224" s="75">
        <v>25.756</v>
      </c>
      <c r="N224" s="105">
        <v>24.827000000000002</v>
      </c>
      <c r="O224" s="104">
        <v>8.93</v>
      </c>
      <c r="P224" s="75">
        <v>9.0399999999999991</v>
      </c>
      <c r="Q224" s="75">
        <v>8.94</v>
      </c>
      <c r="R224" s="75">
        <v>5.9720000000000004</v>
      </c>
      <c r="S224" s="75">
        <v>5.67</v>
      </c>
      <c r="T224" s="105">
        <v>5.9379999999999997</v>
      </c>
      <c r="U224" s="104">
        <v>9.44</v>
      </c>
      <c r="V224" s="75">
        <v>9.64</v>
      </c>
      <c r="W224" s="75">
        <v>9.58</v>
      </c>
      <c r="X224" s="75">
        <v>9.01</v>
      </c>
      <c r="Y224" s="75">
        <v>9.32</v>
      </c>
      <c r="Z224" s="105">
        <v>8.5</v>
      </c>
      <c r="AA224" s="104">
        <v>8.98</v>
      </c>
      <c r="AB224" s="75">
        <v>8.98</v>
      </c>
      <c r="AC224" s="75">
        <v>8.9600000000000009</v>
      </c>
      <c r="AD224" s="75">
        <v>28.93</v>
      </c>
      <c r="AE224" s="75">
        <v>29.24</v>
      </c>
      <c r="AF224" s="105">
        <v>27.88</v>
      </c>
    </row>
    <row r="225" spans="2:32" x14ac:dyDescent="0.3">
      <c r="B225" s="111">
        <v>36.666666666666686</v>
      </c>
      <c r="C225" s="104">
        <v>14.04</v>
      </c>
      <c r="D225" s="75">
        <v>14.19</v>
      </c>
      <c r="E225" s="75">
        <v>14.19</v>
      </c>
      <c r="F225" s="75">
        <v>3.5979999999999999</v>
      </c>
      <c r="G225" s="75">
        <v>3.0139999999999998</v>
      </c>
      <c r="H225" s="105">
        <v>3.3769999999999998</v>
      </c>
      <c r="I225" s="104">
        <v>13.03</v>
      </c>
      <c r="J225" s="75">
        <v>13.27</v>
      </c>
      <c r="K225" s="75">
        <v>13.31</v>
      </c>
      <c r="L225" s="75">
        <v>21.84</v>
      </c>
      <c r="M225" s="75">
        <v>21.84</v>
      </c>
      <c r="N225" s="105">
        <v>20.632000000000001</v>
      </c>
      <c r="O225" s="104">
        <v>9.07</v>
      </c>
      <c r="P225" s="75">
        <v>9.2200000000000006</v>
      </c>
      <c r="Q225" s="75">
        <v>9.09</v>
      </c>
      <c r="R225" s="75">
        <v>5.6859999999999999</v>
      </c>
      <c r="S225" s="75">
        <v>5.37</v>
      </c>
      <c r="T225" s="105">
        <v>5.742</v>
      </c>
      <c r="U225" s="104">
        <v>9.57</v>
      </c>
      <c r="V225" s="75">
        <v>9.74</v>
      </c>
      <c r="W225" s="75">
        <v>9.73</v>
      </c>
      <c r="X225" s="75">
        <v>8.65</v>
      </c>
      <c r="Y225" s="75">
        <v>8.86</v>
      </c>
      <c r="Z225" s="105">
        <v>8.3699999999999992</v>
      </c>
      <c r="AA225" s="104">
        <v>9.06</v>
      </c>
      <c r="AB225" s="75">
        <v>9.07</v>
      </c>
      <c r="AC225" s="75">
        <v>9.0500000000000007</v>
      </c>
      <c r="AD225" s="75">
        <v>30.28</v>
      </c>
      <c r="AE225" s="75">
        <v>29.67</v>
      </c>
      <c r="AF225" s="105">
        <v>28.49</v>
      </c>
    </row>
    <row r="226" spans="2:32" x14ac:dyDescent="0.3">
      <c r="B226" s="111">
        <v>36.83333333333335</v>
      </c>
      <c r="C226" s="104">
        <v>14.19</v>
      </c>
      <c r="D226" s="75">
        <v>14.34</v>
      </c>
      <c r="E226" s="75">
        <v>14.34</v>
      </c>
      <c r="F226" s="75">
        <v>3.5750000000000002</v>
      </c>
      <c r="G226" s="75">
        <v>2.8490000000000002</v>
      </c>
      <c r="H226" s="105">
        <v>3.38</v>
      </c>
      <c r="I226" s="104">
        <v>13.4</v>
      </c>
      <c r="J226" s="75">
        <v>13.64</v>
      </c>
      <c r="K226" s="75">
        <v>13.67</v>
      </c>
      <c r="L226" s="75">
        <v>16.516999999999999</v>
      </c>
      <c r="M226" s="75">
        <v>16.573</v>
      </c>
      <c r="N226" s="105">
        <v>17.02</v>
      </c>
      <c r="O226" s="104">
        <v>9.2100000000000009</v>
      </c>
      <c r="P226" s="75">
        <v>9.3699999999999992</v>
      </c>
      <c r="Q226" s="75">
        <v>9.24</v>
      </c>
      <c r="R226" s="75">
        <v>5.476</v>
      </c>
      <c r="S226" s="75">
        <v>5.34</v>
      </c>
      <c r="T226" s="105">
        <v>5.5609999999999999</v>
      </c>
      <c r="U226" s="104">
        <v>9.7100000000000009</v>
      </c>
      <c r="V226" s="75">
        <v>9.8800000000000008</v>
      </c>
      <c r="W226" s="75">
        <v>9.86</v>
      </c>
      <c r="X226" s="75">
        <v>8.44</v>
      </c>
      <c r="Y226" s="75">
        <v>8.82</v>
      </c>
      <c r="Z226" s="105">
        <v>8.31</v>
      </c>
      <c r="AA226" s="104">
        <v>9.17</v>
      </c>
      <c r="AB226" s="75">
        <v>9.18</v>
      </c>
      <c r="AC226" s="75">
        <v>9.14</v>
      </c>
      <c r="AD226" s="75">
        <v>31.25</v>
      </c>
      <c r="AE226" s="75">
        <v>30.26</v>
      </c>
      <c r="AF226" s="105">
        <v>29.41</v>
      </c>
    </row>
    <row r="227" spans="2:32" x14ac:dyDescent="0.3">
      <c r="B227" s="111">
        <v>37.000000000000014</v>
      </c>
      <c r="C227" s="104">
        <v>14.34</v>
      </c>
      <c r="D227" s="75">
        <v>14.51</v>
      </c>
      <c r="E227" s="75">
        <v>14.49</v>
      </c>
      <c r="F227" s="75">
        <v>3.4510000000000001</v>
      </c>
      <c r="G227" s="75">
        <v>3.15</v>
      </c>
      <c r="H227" s="105">
        <v>3.7130000000000001</v>
      </c>
      <c r="I227" s="104">
        <v>13.75</v>
      </c>
      <c r="J227" s="75">
        <v>13.98</v>
      </c>
      <c r="K227" s="75">
        <v>14</v>
      </c>
      <c r="L227" s="75">
        <v>16.100000000000001</v>
      </c>
      <c r="M227" s="75">
        <v>13.34</v>
      </c>
      <c r="N227" s="105">
        <v>13.18</v>
      </c>
      <c r="O227" s="104">
        <v>9.35</v>
      </c>
      <c r="P227" s="75">
        <v>9.58</v>
      </c>
      <c r="Q227" s="75">
        <v>9.3800000000000008</v>
      </c>
      <c r="R227" s="75">
        <v>5.5720000000000001</v>
      </c>
      <c r="S227" s="75">
        <v>5.48</v>
      </c>
      <c r="T227" s="105">
        <v>5.6180000000000003</v>
      </c>
      <c r="U227" s="104">
        <v>9.85</v>
      </c>
      <c r="V227" s="75">
        <v>10.029999999999999</v>
      </c>
      <c r="W227" s="75">
        <v>10</v>
      </c>
      <c r="X227" s="75">
        <v>8.51</v>
      </c>
      <c r="Y227" s="75">
        <v>8.74</v>
      </c>
      <c r="Z227" s="105">
        <v>8.26</v>
      </c>
      <c r="AA227" s="104">
        <v>9.27</v>
      </c>
      <c r="AB227" s="75">
        <v>9.33</v>
      </c>
      <c r="AC227" s="75">
        <v>9.25</v>
      </c>
      <c r="AD227" s="75">
        <v>31.42</v>
      </c>
      <c r="AE227" s="75">
        <v>32.840000000000003</v>
      </c>
      <c r="AF227" s="105">
        <v>29.77</v>
      </c>
    </row>
    <row r="228" spans="2:32" x14ac:dyDescent="0.3">
      <c r="B228" s="111">
        <v>37.166666666666679</v>
      </c>
      <c r="C228" s="104">
        <v>14.5</v>
      </c>
      <c r="D228" s="75">
        <v>14.68</v>
      </c>
      <c r="E228" s="75">
        <v>14.66</v>
      </c>
      <c r="F228" s="75">
        <v>3.786</v>
      </c>
      <c r="G228" s="75">
        <v>3.274</v>
      </c>
      <c r="H228" s="105">
        <v>3.5710000000000002</v>
      </c>
      <c r="I228" s="104">
        <v>14.07</v>
      </c>
      <c r="J228" s="75">
        <v>14.3</v>
      </c>
      <c r="K228" s="75">
        <v>14.29</v>
      </c>
      <c r="L228" s="75">
        <v>12.52</v>
      </c>
      <c r="M228" s="75">
        <v>10.66</v>
      </c>
      <c r="N228" s="105">
        <v>10.82</v>
      </c>
      <c r="O228" s="104">
        <v>9.5</v>
      </c>
      <c r="P228" s="75">
        <v>9.68</v>
      </c>
      <c r="Q228" s="75">
        <v>9.5299999999999994</v>
      </c>
      <c r="R228" s="75">
        <v>5.5220000000000002</v>
      </c>
      <c r="S228" s="75">
        <v>5.26</v>
      </c>
      <c r="T228" s="105">
        <v>5.5919999999999996</v>
      </c>
      <c r="U228" s="104">
        <v>9.98</v>
      </c>
      <c r="V228" s="75">
        <v>10.17</v>
      </c>
      <c r="W228" s="75">
        <v>10.14</v>
      </c>
      <c r="X228" s="75">
        <v>8.39</v>
      </c>
      <c r="Y228" s="75">
        <v>8.73</v>
      </c>
      <c r="Z228" s="105">
        <v>8.4700000000000006</v>
      </c>
      <c r="AA228" s="104">
        <v>9.4</v>
      </c>
      <c r="AB228" s="75">
        <v>9.4499999999999993</v>
      </c>
      <c r="AC228" s="75">
        <v>9.3800000000000008</v>
      </c>
      <c r="AD228" s="75">
        <v>32.75</v>
      </c>
      <c r="AE228" s="75">
        <v>33.08</v>
      </c>
      <c r="AF228" s="105">
        <v>31.45</v>
      </c>
    </row>
    <row r="229" spans="2:32" x14ac:dyDescent="0.3">
      <c r="B229" s="111">
        <v>37.333333333333343</v>
      </c>
      <c r="C229" s="104">
        <v>14.66</v>
      </c>
      <c r="D229" s="75">
        <v>14.83</v>
      </c>
      <c r="E229" s="75">
        <v>14.81</v>
      </c>
      <c r="F229" s="75">
        <v>3.734</v>
      </c>
      <c r="G229" s="75">
        <v>3.2029999999999998</v>
      </c>
      <c r="H229" s="105">
        <v>3.5379999999999998</v>
      </c>
      <c r="I229" s="104">
        <v>14.34</v>
      </c>
      <c r="J229" s="75">
        <v>14.55</v>
      </c>
      <c r="K229" s="75">
        <v>14.54</v>
      </c>
      <c r="L229" s="75">
        <v>10.09</v>
      </c>
      <c r="M229" s="75">
        <v>8.66</v>
      </c>
      <c r="N229" s="105">
        <v>8.67</v>
      </c>
      <c r="O229" s="104">
        <v>9.65</v>
      </c>
      <c r="P229" s="75">
        <v>9.83</v>
      </c>
      <c r="Q229" s="75">
        <v>9.67</v>
      </c>
      <c r="R229" s="75">
        <v>5.8470000000000004</v>
      </c>
      <c r="S229" s="75">
        <v>5.23</v>
      </c>
      <c r="T229" s="105">
        <v>5.7220000000000004</v>
      </c>
      <c r="U229" s="104">
        <v>10.119999999999999</v>
      </c>
      <c r="V229" s="75">
        <v>10.31</v>
      </c>
      <c r="W229" s="75">
        <v>10.29</v>
      </c>
      <c r="X229" s="75">
        <v>8.7100000000000009</v>
      </c>
      <c r="Y229" s="75">
        <v>8.68</v>
      </c>
      <c r="Z229" s="105">
        <v>8.6300000000000008</v>
      </c>
      <c r="AA229" s="104">
        <v>9.5299999999999994</v>
      </c>
      <c r="AB229" s="75">
        <v>9.56</v>
      </c>
      <c r="AC229" s="75">
        <v>9.5</v>
      </c>
      <c r="AD229" s="75">
        <v>33.54</v>
      </c>
      <c r="AE229" s="75">
        <v>32.43</v>
      </c>
      <c r="AF229" s="105">
        <v>30.91</v>
      </c>
    </row>
    <row r="230" spans="2:32" x14ac:dyDescent="0.3">
      <c r="B230" s="111">
        <v>37.500000000000007</v>
      </c>
      <c r="C230" s="104">
        <v>14.82</v>
      </c>
      <c r="D230" s="75">
        <v>14.97</v>
      </c>
      <c r="E230" s="75">
        <v>14.96</v>
      </c>
      <c r="F230" s="75">
        <v>3.64</v>
      </c>
      <c r="G230" s="75">
        <v>3.2370000000000001</v>
      </c>
      <c r="H230" s="105">
        <v>3.0720000000000001</v>
      </c>
      <c r="I230" s="104">
        <v>14.58</v>
      </c>
      <c r="J230" s="75">
        <v>14.75</v>
      </c>
      <c r="K230" s="75">
        <v>14.75</v>
      </c>
      <c r="L230" s="75">
        <v>8.34</v>
      </c>
      <c r="M230" s="75">
        <v>7.0869999999999997</v>
      </c>
      <c r="N230" s="105">
        <v>7.3040000000000003</v>
      </c>
      <c r="O230" s="104">
        <v>9.81</v>
      </c>
      <c r="P230" s="75">
        <v>9.9600000000000009</v>
      </c>
      <c r="Q230" s="75">
        <v>9.83</v>
      </c>
      <c r="R230" s="75">
        <v>6.0439999999999996</v>
      </c>
      <c r="S230" s="75">
        <v>5.64</v>
      </c>
      <c r="T230" s="105">
        <v>5.9160000000000004</v>
      </c>
      <c r="U230" s="104">
        <v>10.27</v>
      </c>
      <c r="V230" s="75">
        <v>10.41</v>
      </c>
      <c r="W230" s="75">
        <v>10.44</v>
      </c>
      <c r="X230" s="75">
        <v>8.8699999999999992</v>
      </c>
      <c r="Y230" s="75">
        <v>8.67</v>
      </c>
      <c r="Z230" s="105">
        <v>8.4</v>
      </c>
      <c r="AA230" s="104">
        <v>9.68</v>
      </c>
      <c r="AB230" s="75">
        <v>9.7200000000000006</v>
      </c>
      <c r="AC230" s="75">
        <v>9.66</v>
      </c>
      <c r="AD230" s="75">
        <v>35.11</v>
      </c>
      <c r="AE230" s="75">
        <v>33.22</v>
      </c>
      <c r="AF230" s="105">
        <v>33.04</v>
      </c>
    </row>
    <row r="231" spans="2:32" x14ac:dyDescent="0.3">
      <c r="B231" s="111">
        <v>37.666666666666671</v>
      </c>
      <c r="C231" s="104">
        <v>14.96</v>
      </c>
      <c r="D231" s="75">
        <v>15.11</v>
      </c>
      <c r="E231" s="75">
        <v>15.12</v>
      </c>
      <c r="F231" s="75">
        <v>3.492</v>
      </c>
      <c r="G231" s="75">
        <v>3.6629999999999998</v>
      </c>
      <c r="H231" s="105">
        <v>2.5489999999999999</v>
      </c>
      <c r="I231" s="104">
        <v>14.77</v>
      </c>
      <c r="J231" s="75">
        <v>14.92</v>
      </c>
      <c r="K231" s="75">
        <v>14.94</v>
      </c>
      <c r="L231" s="75">
        <v>7.1120000000000001</v>
      </c>
      <c r="M231" s="75">
        <v>6.0860000000000003</v>
      </c>
      <c r="N231" s="105">
        <v>6.016</v>
      </c>
      <c r="O231" s="104">
        <v>9.9600000000000009</v>
      </c>
      <c r="P231" s="75">
        <v>10.14</v>
      </c>
      <c r="Q231" s="75">
        <v>9.98</v>
      </c>
      <c r="R231" s="75">
        <v>5.8120000000000003</v>
      </c>
      <c r="S231" s="75">
        <v>5.15</v>
      </c>
      <c r="T231" s="105">
        <v>5.6760000000000002</v>
      </c>
      <c r="U231" s="104">
        <v>10.41</v>
      </c>
      <c r="V231" s="75">
        <v>10.6</v>
      </c>
      <c r="W231" s="75">
        <v>10.58</v>
      </c>
      <c r="X231" s="75">
        <v>8.56</v>
      </c>
      <c r="Y231" s="75">
        <v>8.6</v>
      </c>
      <c r="Z231" s="105">
        <v>8.2899999999999991</v>
      </c>
      <c r="AA231" s="104">
        <v>9.86</v>
      </c>
      <c r="AB231" s="75">
        <v>9.91</v>
      </c>
      <c r="AC231" s="75">
        <v>9.82</v>
      </c>
      <c r="AD231" s="75">
        <v>34.729999999999997</v>
      </c>
      <c r="AE231" s="75">
        <v>34.299999999999997</v>
      </c>
      <c r="AF231" s="105">
        <v>32.33</v>
      </c>
    </row>
    <row r="232" spans="2:32" x14ac:dyDescent="0.3">
      <c r="B232" s="111">
        <v>37.833333333333336</v>
      </c>
      <c r="C232" s="104">
        <v>15.1</v>
      </c>
      <c r="D232" s="75">
        <v>15.22</v>
      </c>
      <c r="E232" s="75">
        <v>15.28</v>
      </c>
      <c r="F232" s="75">
        <v>3.4620000000000002</v>
      </c>
      <c r="G232" s="75">
        <v>3.5539999999999998</v>
      </c>
      <c r="H232" s="105">
        <v>2.7989999999999999</v>
      </c>
      <c r="I232" s="104">
        <v>14.94</v>
      </c>
      <c r="J232" s="75">
        <v>15.06</v>
      </c>
      <c r="K232" s="75">
        <v>15.12</v>
      </c>
      <c r="L232" s="75">
        <v>6.1680000000000001</v>
      </c>
      <c r="M232" s="75">
        <v>5.9509999999999996</v>
      </c>
      <c r="N232" s="105">
        <v>4.8840000000000003</v>
      </c>
      <c r="O232" s="104">
        <v>10.11</v>
      </c>
      <c r="P232" s="75">
        <v>10.29</v>
      </c>
      <c r="Q232" s="75">
        <v>10.130000000000001</v>
      </c>
      <c r="R232" s="75">
        <v>5.8159999999999998</v>
      </c>
      <c r="S232" s="75">
        <v>5.12</v>
      </c>
      <c r="T232" s="105">
        <v>5.6130000000000004</v>
      </c>
      <c r="U232" s="104">
        <v>10.56</v>
      </c>
      <c r="V232" s="75">
        <v>10.74</v>
      </c>
      <c r="W232" s="75">
        <v>10.72</v>
      </c>
      <c r="X232" s="75">
        <v>8.59</v>
      </c>
      <c r="Y232" s="75">
        <v>8.5500000000000007</v>
      </c>
      <c r="Z232" s="105">
        <v>8.2899999999999991</v>
      </c>
      <c r="AA232" s="104">
        <v>10.039999999999999</v>
      </c>
      <c r="AB232" s="75">
        <v>10.07</v>
      </c>
      <c r="AC232" s="75">
        <v>10.01</v>
      </c>
      <c r="AD232" s="75">
        <v>34.31</v>
      </c>
      <c r="AE232" s="75">
        <v>32.119999999999997</v>
      </c>
      <c r="AF232" s="105">
        <v>32.69</v>
      </c>
    </row>
    <row r="233" spans="2:32" x14ac:dyDescent="0.3">
      <c r="B233" s="111">
        <v>38</v>
      </c>
      <c r="C233" s="104">
        <v>15.26</v>
      </c>
      <c r="D233" s="75">
        <v>15.34</v>
      </c>
      <c r="E233" s="75">
        <v>15.43</v>
      </c>
      <c r="F233" s="75">
        <v>3.6139999999999999</v>
      </c>
      <c r="G233" s="75">
        <v>3.8239999999999998</v>
      </c>
      <c r="H233" s="105">
        <v>2.9390000000000001</v>
      </c>
      <c r="I233" s="104">
        <v>15.11</v>
      </c>
      <c r="J233" s="75">
        <v>15.19</v>
      </c>
      <c r="K233" s="75">
        <v>15.28</v>
      </c>
      <c r="L233" s="75">
        <v>5.7279999999999998</v>
      </c>
      <c r="M233" s="75">
        <v>5.53</v>
      </c>
      <c r="N233" s="105">
        <v>4.9080000000000004</v>
      </c>
      <c r="O233" s="104">
        <v>10.26</v>
      </c>
      <c r="P233" s="75">
        <v>10.36</v>
      </c>
      <c r="Q233" s="75">
        <v>10.28</v>
      </c>
      <c r="R233" s="75">
        <v>5.6639999999999997</v>
      </c>
      <c r="S233" s="75">
        <v>5.26</v>
      </c>
      <c r="T233" s="105">
        <v>5.5970000000000004</v>
      </c>
      <c r="U233" s="104">
        <v>10.7</v>
      </c>
      <c r="V233" s="75">
        <v>10.9</v>
      </c>
      <c r="W233" s="75">
        <v>10.87</v>
      </c>
      <c r="X233" s="75">
        <v>8.4499999999999993</v>
      </c>
      <c r="Y233" s="75">
        <v>8.35</v>
      </c>
      <c r="Z233" s="105">
        <v>8.49</v>
      </c>
      <c r="AA233" s="104">
        <v>10.25</v>
      </c>
      <c r="AB233" s="75">
        <v>10.28</v>
      </c>
      <c r="AC233" s="75">
        <v>10.199999999999999</v>
      </c>
      <c r="AD233" s="75">
        <v>33.03</v>
      </c>
      <c r="AE233" s="75">
        <v>31.45</v>
      </c>
      <c r="AF233" s="105">
        <v>31.5</v>
      </c>
    </row>
    <row r="234" spans="2:32" x14ac:dyDescent="0.3">
      <c r="B234" s="111">
        <v>38.166666666666664</v>
      </c>
      <c r="C234" s="104">
        <v>15.39</v>
      </c>
      <c r="D234" s="75">
        <v>15.49</v>
      </c>
      <c r="E234" s="75">
        <v>15.58</v>
      </c>
      <c r="F234" s="75">
        <v>3.278</v>
      </c>
      <c r="G234" s="75">
        <v>4.3090000000000002</v>
      </c>
      <c r="H234" s="105">
        <v>3.1160000000000001</v>
      </c>
      <c r="I234" s="104">
        <v>15.26</v>
      </c>
      <c r="J234" s="75">
        <v>15.35</v>
      </c>
      <c r="K234" s="75">
        <v>15.44</v>
      </c>
      <c r="L234" s="75">
        <v>5.5359999999999996</v>
      </c>
      <c r="M234" s="75">
        <v>5.5919999999999996</v>
      </c>
      <c r="N234" s="105">
        <v>4.7809999999999997</v>
      </c>
      <c r="O234" s="104">
        <v>10.4</v>
      </c>
      <c r="P234" s="75">
        <v>10.6</v>
      </c>
      <c r="Q234" s="75">
        <v>10.43</v>
      </c>
      <c r="R234" s="75">
        <v>5.6669999999999998</v>
      </c>
      <c r="S234" s="75">
        <v>5.04</v>
      </c>
      <c r="T234" s="105">
        <v>5.7629999999999999</v>
      </c>
      <c r="U234" s="104">
        <v>10.84</v>
      </c>
      <c r="V234" s="75">
        <v>11.03</v>
      </c>
      <c r="W234" s="75">
        <v>11.01</v>
      </c>
      <c r="X234" s="75">
        <v>8.41</v>
      </c>
      <c r="Y234" s="75">
        <v>8.4600000000000009</v>
      </c>
      <c r="Z234" s="105">
        <v>8.3000000000000007</v>
      </c>
      <c r="AA234" s="104">
        <v>10.49</v>
      </c>
      <c r="AB234" s="75">
        <v>10.54</v>
      </c>
      <c r="AC234" s="75">
        <v>10.44</v>
      </c>
      <c r="AD234" s="75">
        <v>30.51</v>
      </c>
      <c r="AE234" s="75">
        <v>28.46</v>
      </c>
      <c r="AF234" s="105">
        <v>29.95</v>
      </c>
    </row>
    <row r="235" spans="2:32" x14ac:dyDescent="0.3">
      <c r="B235" s="111">
        <v>38.333333333333329</v>
      </c>
      <c r="C235" s="104">
        <v>15.54</v>
      </c>
      <c r="D235" s="75">
        <v>15.66</v>
      </c>
      <c r="E235" s="75">
        <v>15.73</v>
      </c>
      <c r="F235" s="75">
        <v>3.6040000000000001</v>
      </c>
      <c r="G235" s="75">
        <v>4.4509999999999996</v>
      </c>
      <c r="H235" s="105">
        <v>3.4079999999999999</v>
      </c>
      <c r="I235" s="104">
        <v>15.41</v>
      </c>
      <c r="J235" s="75">
        <v>15.52</v>
      </c>
      <c r="K235" s="75">
        <v>15.59</v>
      </c>
      <c r="L235" s="75">
        <v>5.05</v>
      </c>
      <c r="M235" s="75">
        <v>6.0679999999999996</v>
      </c>
      <c r="N235" s="105">
        <v>4.8049999999999997</v>
      </c>
      <c r="O235" s="104">
        <v>10.55</v>
      </c>
      <c r="P235" s="75">
        <v>10.75</v>
      </c>
      <c r="Q235" s="75">
        <v>10.58</v>
      </c>
      <c r="R235" s="75">
        <v>5.57</v>
      </c>
      <c r="S235" s="75">
        <v>5</v>
      </c>
      <c r="T235" s="105">
        <v>5.5220000000000002</v>
      </c>
      <c r="U235" s="104">
        <v>10.98</v>
      </c>
      <c r="V235" s="75">
        <v>11.17</v>
      </c>
      <c r="W235" s="75">
        <v>11.15</v>
      </c>
      <c r="X235" s="75">
        <v>8.39</v>
      </c>
      <c r="Y235" s="75">
        <v>8.42</v>
      </c>
      <c r="Z235" s="105">
        <v>8.1</v>
      </c>
      <c r="AA235" s="104">
        <v>10.8</v>
      </c>
      <c r="AB235" s="75">
        <v>10.84</v>
      </c>
      <c r="AC235" s="75">
        <v>10.72</v>
      </c>
      <c r="AD235" s="75">
        <v>20.94</v>
      </c>
      <c r="AE235" s="75">
        <v>20.2</v>
      </c>
      <c r="AF235" s="105">
        <v>24.36</v>
      </c>
    </row>
    <row r="236" spans="2:32" x14ac:dyDescent="0.3">
      <c r="B236" s="111">
        <v>38.499999999999993</v>
      </c>
      <c r="C236" s="104">
        <v>15.7</v>
      </c>
      <c r="D236" s="75">
        <v>15.81</v>
      </c>
      <c r="E236" s="75">
        <v>15.87</v>
      </c>
      <c r="F236" s="75">
        <v>3.7229999999999999</v>
      </c>
      <c r="G236" s="75">
        <v>4.0030000000000001</v>
      </c>
      <c r="H236" s="105">
        <v>2.9889999999999999</v>
      </c>
      <c r="I236" s="104">
        <v>15.57</v>
      </c>
      <c r="J236" s="75">
        <v>15.67</v>
      </c>
      <c r="K236" s="75">
        <v>15.74</v>
      </c>
      <c r="L236" s="75">
        <v>5.335</v>
      </c>
      <c r="M236" s="75">
        <v>6.0570000000000004</v>
      </c>
      <c r="N236" s="105">
        <v>4.9980000000000002</v>
      </c>
      <c r="O236" s="104">
        <v>10.7</v>
      </c>
      <c r="P236" s="75">
        <v>10.92</v>
      </c>
      <c r="Q236" s="75">
        <v>10.73</v>
      </c>
      <c r="R236" s="75">
        <v>5.47</v>
      </c>
      <c r="S236" s="75">
        <v>4.87</v>
      </c>
      <c r="T236" s="105">
        <v>5.3079999999999998</v>
      </c>
      <c r="U236" s="104">
        <v>11.12</v>
      </c>
      <c r="V236" s="75">
        <v>11.28</v>
      </c>
      <c r="W236" s="75">
        <v>11.29</v>
      </c>
      <c r="X236" s="75">
        <v>8.3800000000000008</v>
      </c>
      <c r="Y236" s="75">
        <v>8.06</v>
      </c>
      <c r="Z236" s="105">
        <v>8.34</v>
      </c>
      <c r="AA236" s="104">
        <v>11.14</v>
      </c>
      <c r="AB236" s="75">
        <v>11.16</v>
      </c>
      <c r="AC236" s="75">
        <v>11.06</v>
      </c>
      <c r="AD236" s="75">
        <v>15.72</v>
      </c>
      <c r="AE236" s="75">
        <v>15.68</v>
      </c>
      <c r="AF236" s="105">
        <v>18.72</v>
      </c>
    </row>
    <row r="237" spans="2:32" x14ac:dyDescent="0.3">
      <c r="B237" s="111">
        <v>38.666666666666657</v>
      </c>
      <c r="C237" s="104">
        <v>15.86</v>
      </c>
      <c r="D237" s="75">
        <v>15.96</v>
      </c>
      <c r="E237" s="75">
        <v>16.02</v>
      </c>
      <c r="F237" s="75">
        <v>3.367</v>
      </c>
      <c r="G237" s="75">
        <v>4.0469999999999997</v>
      </c>
      <c r="H237" s="105">
        <v>2.903</v>
      </c>
      <c r="I237" s="104">
        <v>15.73</v>
      </c>
      <c r="J237" s="75">
        <v>15.82</v>
      </c>
      <c r="K237" s="75">
        <v>15.89</v>
      </c>
      <c r="L237" s="75">
        <v>5.3330000000000002</v>
      </c>
      <c r="M237" s="75">
        <v>5.6390000000000002</v>
      </c>
      <c r="N237" s="105">
        <v>4.5330000000000004</v>
      </c>
      <c r="O237" s="104">
        <v>10.86</v>
      </c>
      <c r="P237" s="75">
        <v>11.05</v>
      </c>
      <c r="Q237" s="75">
        <v>10.88</v>
      </c>
      <c r="R237" s="75">
        <v>5.5590000000000002</v>
      </c>
      <c r="S237" s="75">
        <v>4.93</v>
      </c>
      <c r="T237" s="105">
        <v>5.4320000000000004</v>
      </c>
      <c r="U237" s="104">
        <v>11.26</v>
      </c>
      <c r="V237" s="75">
        <v>11.45</v>
      </c>
      <c r="W237" s="75">
        <v>11.44</v>
      </c>
      <c r="X237" s="75">
        <v>8.44</v>
      </c>
      <c r="Y237" s="75">
        <v>8.33</v>
      </c>
      <c r="Z237" s="105">
        <v>8.43</v>
      </c>
      <c r="AA237" s="104">
        <v>11.48</v>
      </c>
      <c r="AB237" s="75">
        <v>11.49</v>
      </c>
      <c r="AC237" s="75">
        <v>11.37</v>
      </c>
      <c r="AD237" s="75">
        <v>10.88</v>
      </c>
      <c r="AE237" s="75">
        <v>11.76</v>
      </c>
      <c r="AF237" s="105">
        <v>13.72</v>
      </c>
    </row>
    <row r="238" spans="2:32" x14ac:dyDescent="0.3">
      <c r="B238" s="111">
        <v>38.833333333333321</v>
      </c>
      <c r="C238" s="104">
        <v>16.02</v>
      </c>
      <c r="D238" s="75">
        <v>16.11</v>
      </c>
      <c r="E238" s="75">
        <v>16.18</v>
      </c>
      <c r="F238" s="75">
        <v>3.29</v>
      </c>
      <c r="G238" s="75">
        <v>3.9020000000000001</v>
      </c>
      <c r="H238" s="105">
        <v>3.145</v>
      </c>
      <c r="I238" s="104">
        <v>15.89</v>
      </c>
      <c r="J238" s="75">
        <v>15.97</v>
      </c>
      <c r="K238" s="75">
        <v>16.05</v>
      </c>
      <c r="L238" s="75">
        <v>4.9690000000000003</v>
      </c>
      <c r="M238" s="75">
        <v>5.5970000000000004</v>
      </c>
      <c r="N238" s="105">
        <v>4.5149999999999997</v>
      </c>
      <c r="O238" s="104">
        <v>11.03</v>
      </c>
      <c r="P238" s="75">
        <v>11.21</v>
      </c>
      <c r="Q238" s="75">
        <v>11.05</v>
      </c>
      <c r="R238" s="75">
        <v>5.7249999999999996</v>
      </c>
      <c r="S238" s="75">
        <v>4.8899999999999997</v>
      </c>
      <c r="T238" s="105">
        <v>5.5069999999999997</v>
      </c>
      <c r="U238" s="104">
        <v>11.41</v>
      </c>
      <c r="V238" s="75">
        <v>11.6</v>
      </c>
      <c r="W238" s="75">
        <v>11.59</v>
      </c>
      <c r="X238" s="75">
        <v>8.66</v>
      </c>
      <c r="Y238" s="75">
        <v>8.2799999999999994</v>
      </c>
      <c r="Z238" s="105">
        <v>8.3000000000000007</v>
      </c>
      <c r="AA238" s="104">
        <v>11.83</v>
      </c>
      <c r="AB238" s="75">
        <v>11.84</v>
      </c>
      <c r="AC238" s="75">
        <v>11.72</v>
      </c>
      <c r="AD238" s="75">
        <v>9.39</v>
      </c>
      <c r="AE238" s="75">
        <v>10.02</v>
      </c>
      <c r="AF238" s="105">
        <v>11.03</v>
      </c>
    </row>
    <row r="239" spans="2:32" x14ac:dyDescent="0.3">
      <c r="B239" s="111">
        <v>38.999999999999986</v>
      </c>
      <c r="C239" s="104">
        <v>16.18</v>
      </c>
      <c r="D239" s="75">
        <v>16.260000000000002</v>
      </c>
      <c r="E239" s="75">
        <v>16.34</v>
      </c>
      <c r="F239" s="75">
        <v>3.044</v>
      </c>
      <c r="G239" s="75">
        <v>3.8889999999999998</v>
      </c>
      <c r="H239" s="105">
        <v>3.266</v>
      </c>
      <c r="I239" s="104">
        <v>16.059999999999999</v>
      </c>
      <c r="J239" s="75">
        <v>16.12</v>
      </c>
      <c r="K239" s="75">
        <v>16.21</v>
      </c>
      <c r="L239" s="75">
        <v>4.8760000000000003</v>
      </c>
      <c r="M239" s="75">
        <v>5.4530000000000003</v>
      </c>
      <c r="N239" s="105">
        <v>4.7750000000000004</v>
      </c>
      <c r="O239" s="104">
        <v>11.19</v>
      </c>
      <c r="P239" s="75">
        <v>11.32</v>
      </c>
      <c r="Q239" s="75">
        <v>11.21</v>
      </c>
      <c r="R239" s="75">
        <v>5.4020000000000001</v>
      </c>
      <c r="S239" s="75">
        <v>5.03</v>
      </c>
      <c r="T239" s="105">
        <v>5.27</v>
      </c>
      <c r="U239" s="104">
        <v>11.56</v>
      </c>
      <c r="V239" s="75">
        <v>11.76</v>
      </c>
      <c r="W239" s="75">
        <v>11.73</v>
      </c>
      <c r="X239" s="75">
        <v>8.4700000000000006</v>
      </c>
      <c r="Y239" s="75">
        <v>8.07</v>
      </c>
      <c r="Z239" s="105">
        <v>8.24</v>
      </c>
      <c r="AA239" s="104">
        <v>12.11</v>
      </c>
      <c r="AB239" s="75">
        <v>12.13</v>
      </c>
      <c r="AC239" s="75">
        <v>12.05</v>
      </c>
      <c r="AD239" s="75">
        <v>6.4509999999999996</v>
      </c>
      <c r="AE239" s="75">
        <v>7.0510000000000002</v>
      </c>
      <c r="AF239" s="105">
        <v>8.7899999999999991</v>
      </c>
    </row>
    <row r="240" spans="2:32" x14ac:dyDescent="0.3">
      <c r="B240" s="111">
        <v>39.16666666666665</v>
      </c>
      <c r="C240" s="104">
        <v>16.329999999999998</v>
      </c>
      <c r="D240" s="75">
        <v>16.399999999999999</v>
      </c>
      <c r="E240" s="75">
        <v>16.48</v>
      </c>
      <c r="F240" s="75">
        <v>3.1379999999999999</v>
      </c>
      <c r="G240" s="75">
        <v>3.7309999999999999</v>
      </c>
      <c r="H240" s="105">
        <v>2.7949999999999999</v>
      </c>
      <c r="I240" s="104">
        <v>16.21</v>
      </c>
      <c r="J240" s="75">
        <v>16.27</v>
      </c>
      <c r="K240" s="75">
        <v>16.350000000000001</v>
      </c>
      <c r="L240" s="75">
        <v>4.492</v>
      </c>
      <c r="M240" s="75">
        <v>5.3620000000000001</v>
      </c>
      <c r="N240" s="105">
        <v>4.7880000000000003</v>
      </c>
      <c r="O240" s="104">
        <v>11.33</v>
      </c>
      <c r="P240" s="75">
        <v>11.51</v>
      </c>
      <c r="Q240" s="75">
        <v>11.36</v>
      </c>
      <c r="R240" s="75">
        <v>5.0179999999999998</v>
      </c>
      <c r="S240" s="75">
        <v>4.8710000000000004</v>
      </c>
      <c r="T240" s="105">
        <v>5.2039999999999997</v>
      </c>
      <c r="U240" s="104">
        <v>11.7</v>
      </c>
      <c r="V240" s="75">
        <v>11.87</v>
      </c>
      <c r="W240" s="75">
        <v>11.87</v>
      </c>
      <c r="X240" s="75">
        <v>8.19</v>
      </c>
      <c r="Y240" s="75">
        <v>8.36</v>
      </c>
      <c r="Z240" s="105">
        <v>8.1300000000000008</v>
      </c>
      <c r="AA240" s="104">
        <v>12.36</v>
      </c>
      <c r="AB240" s="75">
        <v>12.37</v>
      </c>
      <c r="AC240" s="75">
        <v>12.33</v>
      </c>
      <c r="AD240" s="75">
        <v>5.3259999999999996</v>
      </c>
      <c r="AE240" s="75">
        <v>5.8819999999999997</v>
      </c>
      <c r="AF240" s="105">
        <v>7.016</v>
      </c>
    </row>
    <row r="241" spans="2:32" x14ac:dyDescent="0.3">
      <c r="B241" s="111">
        <v>39.333333333333314</v>
      </c>
      <c r="C241" s="104">
        <v>16.47</v>
      </c>
      <c r="D241" s="75">
        <v>16.55</v>
      </c>
      <c r="E241" s="75">
        <v>16.62</v>
      </c>
      <c r="F241" s="75">
        <v>3.1320000000000001</v>
      </c>
      <c r="G241" s="75">
        <v>3.9420000000000002</v>
      </c>
      <c r="H241" s="105">
        <v>2.8610000000000002</v>
      </c>
      <c r="I241" s="104">
        <v>16.350000000000001</v>
      </c>
      <c r="J241" s="75">
        <v>16.420000000000002</v>
      </c>
      <c r="K241" s="75">
        <v>16.489999999999998</v>
      </c>
      <c r="L241" s="75">
        <v>4.5919999999999996</v>
      </c>
      <c r="M241" s="75">
        <v>5.1310000000000002</v>
      </c>
      <c r="N241" s="105">
        <v>4.3659999999999997</v>
      </c>
      <c r="O241" s="104">
        <v>11.49</v>
      </c>
      <c r="P241" s="75">
        <v>11.65</v>
      </c>
      <c r="Q241" s="75">
        <v>11.51</v>
      </c>
      <c r="R241" s="75">
        <v>4.9800000000000004</v>
      </c>
      <c r="S241" s="75">
        <v>4.5449999999999999</v>
      </c>
      <c r="T241" s="105">
        <v>4.8339999999999996</v>
      </c>
      <c r="U241" s="104">
        <v>11.84</v>
      </c>
      <c r="V241" s="75">
        <v>12.01</v>
      </c>
      <c r="W241" s="75">
        <v>12.02</v>
      </c>
      <c r="X241" s="75">
        <v>8.23</v>
      </c>
      <c r="Y241" s="75">
        <v>8.1199999999999992</v>
      </c>
      <c r="Z241" s="105">
        <v>8.2899999999999991</v>
      </c>
      <c r="AA241" s="104">
        <v>12.55</v>
      </c>
      <c r="AB241" s="75">
        <v>12.57</v>
      </c>
      <c r="AC241" s="75">
        <v>12.56</v>
      </c>
      <c r="AD241" s="75">
        <v>4.6829999999999998</v>
      </c>
      <c r="AE241" s="75">
        <v>5.1379999999999999</v>
      </c>
      <c r="AF241" s="105">
        <v>5.6459999999999999</v>
      </c>
    </row>
    <row r="242" spans="2:32" x14ac:dyDescent="0.3">
      <c r="B242" s="111">
        <v>39.499999999999979</v>
      </c>
      <c r="C242" s="104">
        <v>16.61</v>
      </c>
      <c r="D242" s="75">
        <v>16.72</v>
      </c>
      <c r="E242" s="75">
        <v>16.79</v>
      </c>
      <c r="F242" s="75">
        <v>3.5840000000000001</v>
      </c>
      <c r="G242" s="75">
        <v>4.1550000000000002</v>
      </c>
      <c r="H242" s="105">
        <v>3.2519999999999998</v>
      </c>
      <c r="I242" s="104">
        <v>16.489999999999998</v>
      </c>
      <c r="J242" s="75">
        <v>16.59</v>
      </c>
      <c r="K242" s="75">
        <v>16.649999999999999</v>
      </c>
      <c r="L242" s="75">
        <v>4.5659999999999998</v>
      </c>
      <c r="M242" s="75">
        <v>5.43</v>
      </c>
      <c r="N242" s="105">
        <v>4.1230000000000002</v>
      </c>
      <c r="O242" s="104">
        <v>11.63</v>
      </c>
      <c r="P242" s="75">
        <v>11.79</v>
      </c>
      <c r="Q242" s="75">
        <v>11.67</v>
      </c>
      <c r="R242" s="75">
        <v>4.819</v>
      </c>
      <c r="S242" s="75">
        <v>4.6070000000000002</v>
      </c>
      <c r="T242" s="105">
        <v>4.9690000000000003</v>
      </c>
      <c r="U242" s="104">
        <v>11.97</v>
      </c>
      <c r="V242" s="75">
        <v>12.14</v>
      </c>
      <c r="W242" s="75">
        <v>12.16</v>
      </c>
      <c r="X242" s="75">
        <v>8.11</v>
      </c>
      <c r="Y242" s="75">
        <v>8.19</v>
      </c>
      <c r="Z242" s="105">
        <v>8.0299999999999994</v>
      </c>
      <c r="AA242" s="104">
        <v>12.73</v>
      </c>
      <c r="AB242" s="75">
        <v>12.75</v>
      </c>
      <c r="AC242" s="75">
        <v>12.74</v>
      </c>
      <c r="AD242" s="75">
        <v>4.8019999999999996</v>
      </c>
      <c r="AE242" s="75">
        <v>4.8550000000000004</v>
      </c>
      <c r="AF242" s="105">
        <v>4.625</v>
      </c>
    </row>
    <row r="243" spans="2:32" x14ac:dyDescent="0.3">
      <c r="B243" s="111">
        <v>39.666666666666643</v>
      </c>
      <c r="C243" s="104">
        <v>16.739999999999998</v>
      </c>
      <c r="D243" s="75">
        <v>16.87</v>
      </c>
      <c r="E243" s="75">
        <v>16.93</v>
      </c>
      <c r="F243" s="75">
        <v>4.0010000000000003</v>
      </c>
      <c r="G243" s="75">
        <v>3.45</v>
      </c>
      <c r="H243" s="105">
        <v>3.028</v>
      </c>
      <c r="I243" s="104">
        <v>16.62</v>
      </c>
      <c r="J243" s="75">
        <v>16.739999999999998</v>
      </c>
      <c r="K243" s="75">
        <v>16.8</v>
      </c>
      <c r="L243" s="75">
        <v>4.9459999999999997</v>
      </c>
      <c r="M243" s="75">
        <v>5.6360000000000001</v>
      </c>
      <c r="N243" s="105">
        <v>4.7489999999999997</v>
      </c>
      <c r="O243" s="104">
        <v>11.79</v>
      </c>
      <c r="P243" s="75">
        <v>11.94</v>
      </c>
      <c r="Q243" s="75">
        <v>11.82</v>
      </c>
      <c r="R243" s="75">
        <v>4.7309999999999999</v>
      </c>
      <c r="S243" s="75">
        <v>4.7</v>
      </c>
      <c r="T243" s="105">
        <v>4.7309999999999999</v>
      </c>
      <c r="U243" s="104">
        <v>12.11</v>
      </c>
      <c r="V243" s="75">
        <v>12.28</v>
      </c>
      <c r="W243" s="75">
        <v>12.3</v>
      </c>
      <c r="X243" s="75">
        <v>8.11</v>
      </c>
      <c r="Y243" s="75">
        <v>8.24</v>
      </c>
      <c r="Z243" s="105">
        <v>7.9340000000000002</v>
      </c>
      <c r="AA243" s="104">
        <v>12.88</v>
      </c>
      <c r="AB243" s="75">
        <v>12.91</v>
      </c>
      <c r="AC243" s="75">
        <v>12.92</v>
      </c>
      <c r="AD243" s="75">
        <v>4.319</v>
      </c>
      <c r="AE243" s="75">
        <v>3.984</v>
      </c>
      <c r="AF243" s="105">
        <v>4.4560000000000004</v>
      </c>
    </row>
    <row r="244" spans="2:32" x14ac:dyDescent="0.3">
      <c r="B244" s="111">
        <v>39.833333333333307</v>
      </c>
      <c r="C244" s="104">
        <v>16.88</v>
      </c>
      <c r="D244" s="75">
        <v>17.04</v>
      </c>
      <c r="E244" s="75">
        <v>17.09</v>
      </c>
      <c r="F244" s="75">
        <v>3.9849999999999999</v>
      </c>
      <c r="G244" s="75">
        <v>2.5760000000000001</v>
      </c>
      <c r="H244" s="105">
        <v>3.129</v>
      </c>
      <c r="I244" s="104">
        <v>16.75</v>
      </c>
      <c r="J244" s="75">
        <v>16.91</v>
      </c>
      <c r="K244" s="75">
        <v>16.96</v>
      </c>
      <c r="L244" s="75">
        <v>5.4649999999999999</v>
      </c>
      <c r="M244" s="75">
        <v>4.8890000000000002</v>
      </c>
      <c r="N244" s="105">
        <v>4.4539999999999997</v>
      </c>
      <c r="O244" s="104">
        <v>11.93</v>
      </c>
      <c r="P244" s="75">
        <v>12.11</v>
      </c>
      <c r="Q244" s="75">
        <v>11.96</v>
      </c>
      <c r="R244" s="75">
        <v>4.7240000000000002</v>
      </c>
      <c r="S244" s="75">
        <v>5.1929999999999996</v>
      </c>
      <c r="T244" s="105">
        <v>4.5759999999999996</v>
      </c>
      <c r="U244" s="104">
        <v>12.26</v>
      </c>
      <c r="V244" s="75">
        <v>12.43</v>
      </c>
      <c r="W244" s="75">
        <v>12.45</v>
      </c>
      <c r="X244" s="75">
        <v>8.14</v>
      </c>
      <c r="Y244" s="75">
        <v>8.76</v>
      </c>
      <c r="Z244" s="105">
        <v>8.3800000000000008</v>
      </c>
      <c r="AA244" s="104">
        <v>13.05</v>
      </c>
      <c r="AB244" s="75">
        <v>13.08</v>
      </c>
      <c r="AC244" s="75">
        <v>13.09</v>
      </c>
      <c r="AD244" s="75">
        <v>3.8450000000000002</v>
      </c>
      <c r="AE244" s="75">
        <v>4.4459999999999997</v>
      </c>
      <c r="AF244" s="105">
        <v>4.5380000000000003</v>
      </c>
    </row>
    <row r="245" spans="2:32" x14ac:dyDescent="0.3">
      <c r="B245" s="111">
        <v>39.999999999999972</v>
      </c>
      <c r="C245" s="104">
        <v>17.02</v>
      </c>
      <c r="D245" s="75">
        <v>17.190000000000001</v>
      </c>
      <c r="E245" s="75">
        <v>17.239999999999998</v>
      </c>
      <c r="F245" s="75">
        <v>3.8679999999999999</v>
      </c>
      <c r="G245" s="75">
        <v>2.5659999999999998</v>
      </c>
      <c r="H245" s="105">
        <v>3.13</v>
      </c>
      <c r="I245" s="104">
        <v>16.899999999999999</v>
      </c>
      <c r="J245" s="75">
        <v>17.07</v>
      </c>
      <c r="K245" s="75">
        <v>17.11</v>
      </c>
      <c r="L245" s="75">
        <v>5.3639999999999999</v>
      </c>
      <c r="M245" s="75">
        <v>3.9830000000000001</v>
      </c>
      <c r="N245" s="105">
        <v>4.53</v>
      </c>
      <c r="O245" s="104">
        <v>12.1</v>
      </c>
      <c r="P245" s="75">
        <v>12.26</v>
      </c>
      <c r="Q245" s="75">
        <v>12.13</v>
      </c>
      <c r="R245" s="75">
        <v>5.1130000000000004</v>
      </c>
      <c r="S245" s="75">
        <v>5.0359999999999996</v>
      </c>
      <c r="T245" s="105">
        <v>5.0049999999999999</v>
      </c>
      <c r="U245" s="104">
        <v>12.41</v>
      </c>
      <c r="V245" s="75">
        <v>12.58</v>
      </c>
      <c r="W245" s="75">
        <v>12.59</v>
      </c>
      <c r="X245" s="75">
        <v>8.5</v>
      </c>
      <c r="Y245" s="75">
        <v>8.5299999999999994</v>
      </c>
      <c r="Z245" s="105">
        <v>8.23</v>
      </c>
      <c r="AA245" s="104">
        <v>13.21</v>
      </c>
      <c r="AB245" s="75">
        <v>13.24</v>
      </c>
      <c r="AC245" s="75">
        <v>13.28</v>
      </c>
      <c r="AD245" s="75">
        <v>4.7140000000000004</v>
      </c>
      <c r="AE245" s="75">
        <v>4.66</v>
      </c>
      <c r="AF245" s="105">
        <v>4.1139999999999999</v>
      </c>
    </row>
    <row r="246" spans="2:32" x14ac:dyDescent="0.3">
      <c r="B246" s="111">
        <v>40.166666666666636</v>
      </c>
      <c r="C246" s="104">
        <v>17.170000000000002</v>
      </c>
      <c r="D246" s="75">
        <v>17.350000000000001</v>
      </c>
      <c r="E246" s="75">
        <v>17.39</v>
      </c>
      <c r="F246" s="75">
        <v>3.9489999999999998</v>
      </c>
      <c r="G246" s="75">
        <v>2.891</v>
      </c>
      <c r="H246" s="105">
        <v>2.8780000000000001</v>
      </c>
      <c r="I246" s="104">
        <v>17.04</v>
      </c>
      <c r="J246" s="75">
        <v>17.22</v>
      </c>
      <c r="K246" s="75">
        <v>17.260000000000002</v>
      </c>
      <c r="L246" s="75">
        <v>5.3719999999999999</v>
      </c>
      <c r="M246" s="75">
        <v>3.9889999999999999</v>
      </c>
      <c r="N246" s="105">
        <v>4.5910000000000002</v>
      </c>
      <c r="O246" s="104">
        <v>12.26</v>
      </c>
      <c r="P246" s="75">
        <v>12.41</v>
      </c>
      <c r="Q246" s="75">
        <v>12.28</v>
      </c>
      <c r="R246" s="75">
        <v>4.9489999999999998</v>
      </c>
      <c r="S246" s="75">
        <v>4.9260000000000002</v>
      </c>
      <c r="T246" s="105">
        <v>4.8840000000000003</v>
      </c>
      <c r="U246" s="104">
        <v>12.56</v>
      </c>
      <c r="V246" s="75">
        <v>12.73</v>
      </c>
      <c r="W246" s="75">
        <v>12.74</v>
      </c>
      <c r="X246" s="75">
        <v>8.31</v>
      </c>
      <c r="Y246" s="75">
        <v>8.4600000000000009</v>
      </c>
      <c r="Z246" s="105">
        <v>8.14</v>
      </c>
      <c r="AA246" s="104">
        <v>13.37</v>
      </c>
      <c r="AB246" s="75">
        <v>13.4</v>
      </c>
      <c r="AC246" s="75">
        <v>13.46</v>
      </c>
      <c r="AD246" s="75">
        <v>4.17</v>
      </c>
      <c r="AE246" s="75">
        <v>4.1440000000000001</v>
      </c>
      <c r="AF246" s="105">
        <v>3.9</v>
      </c>
    </row>
    <row r="247" spans="2:32" x14ac:dyDescent="0.3">
      <c r="B247" s="111">
        <v>40.3333333333333</v>
      </c>
      <c r="C247" s="104">
        <v>17.309999999999999</v>
      </c>
      <c r="D247" s="75">
        <v>17.5</v>
      </c>
      <c r="E247" s="75">
        <v>17.54</v>
      </c>
      <c r="F247" s="75">
        <v>3.819</v>
      </c>
      <c r="G247" s="75">
        <v>2.923</v>
      </c>
      <c r="H247" s="105">
        <v>2.8969999999999998</v>
      </c>
      <c r="I247" s="104">
        <v>17.190000000000001</v>
      </c>
      <c r="J247" s="75">
        <v>17.37</v>
      </c>
      <c r="K247" s="75">
        <v>17.399999999999999</v>
      </c>
      <c r="L247" s="75">
        <v>5.5149999999999997</v>
      </c>
      <c r="M247" s="75">
        <v>4.18</v>
      </c>
      <c r="N247" s="105">
        <v>3.9470000000000001</v>
      </c>
      <c r="O247" s="104">
        <v>12.41</v>
      </c>
      <c r="P247" s="75">
        <v>12.56</v>
      </c>
      <c r="Q247" s="75">
        <v>12.43</v>
      </c>
      <c r="R247" s="75">
        <v>4.8609999999999998</v>
      </c>
      <c r="S247" s="75">
        <v>4.8079999999999998</v>
      </c>
      <c r="T247" s="105">
        <v>4.827</v>
      </c>
      <c r="U247" s="104">
        <v>12.7</v>
      </c>
      <c r="V247" s="75">
        <v>12.86</v>
      </c>
      <c r="W247" s="75">
        <v>12.89</v>
      </c>
      <c r="X247" s="75">
        <v>8.26</v>
      </c>
      <c r="Y247" s="75">
        <v>8.19</v>
      </c>
      <c r="Z247" s="105">
        <v>8.2200000000000006</v>
      </c>
      <c r="AA247" s="104">
        <v>13.54</v>
      </c>
      <c r="AB247" s="75">
        <v>13.57</v>
      </c>
      <c r="AC247" s="75">
        <v>13.6</v>
      </c>
      <c r="AD247" s="75">
        <v>4.5970000000000004</v>
      </c>
      <c r="AE247" s="75">
        <v>4.2960000000000003</v>
      </c>
      <c r="AF247" s="105">
        <v>2.9769999999999999</v>
      </c>
    </row>
    <row r="248" spans="2:32" x14ac:dyDescent="0.3">
      <c r="B248" s="111">
        <v>40.499999999999964</v>
      </c>
      <c r="C248" s="104">
        <v>17.46</v>
      </c>
      <c r="D248" s="75">
        <v>17.649999999999999</v>
      </c>
      <c r="E248" s="75">
        <v>17.68</v>
      </c>
      <c r="F248" s="75">
        <v>3.903</v>
      </c>
      <c r="G248" s="75">
        <v>2.9950000000000001</v>
      </c>
      <c r="H248" s="105">
        <v>2.8410000000000002</v>
      </c>
      <c r="I248" s="104">
        <v>17.34</v>
      </c>
      <c r="J248" s="75">
        <v>17.52</v>
      </c>
      <c r="K248" s="75">
        <v>17.54</v>
      </c>
      <c r="L248" s="75">
        <v>5.202</v>
      </c>
      <c r="M248" s="75">
        <v>4.1210000000000004</v>
      </c>
      <c r="N248" s="105">
        <v>3.899</v>
      </c>
      <c r="O248" s="104">
        <v>12.55</v>
      </c>
      <c r="P248" s="75">
        <v>12.7</v>
      </c>
      <c r="Q248" s="75">
        <v>12.58</v>
      </c>
      <c r="R248" s="75">
        <v>4.9939999999999998</v>
      </c>
      <c r="S248" s="75">
        <v>4.75</v>
      </c>
      <c r="T248" s="105">
        <v>4.87</v>
      </c>
      <c r="U248" s="104">
        <v>12.85</v>
      </c>
      <c r="V248" s="75">
        <v>13</v>
      </c>
      <c r="W248" s="75">
        <v>13.03</v>
      </c>
      <c r="X248" s="75">
        <v>8.34</v>
      </c>
      <c r="Y248" s="75">
        <v>8.08</v>
      </c>
      <c r="Z248" s="105">
        <v>7.9109999999999996</v>
      </c>
      <c r="AA248" s="104">
        <v>13.68</v>
      </c>
      <c r="AB248" s="75">
        <v>13.71</v>
      </c>
      <c r="AC248" s="75">
        <v>13.76</v>
      </c>
      <c r="AD248" s="75">
        <v>4.1079999999999997</v>
      </c>
      <c r="AE248" s="75">
        <v>3.7309999999999999</v>
      </c>
      <c r="AF248" s="105">
        <v>3.5070000000000001</v>
      </c>
    </row>
    <row r="249" spans="2:32" x14ac:dyDescent="0.3">
      <c r="B249" s="111">
        <v>40.666666666666629</v>
      </c>
      <c r="C249" s="104">
        <v>17.600000000000001</v>
      </c>
      <c r="D249" s="75">
        <v>17.809999999999999</v>
      </c>
      <c r="E249" s="75">
        <v>17.82</v>
      </c>
      <c r="F249" s="75">
        <v>3.8530000000000002</v>
      </c>
      <c r="G249" s="75">
        <v>3.7669999999999999</v>
      </c>
      <c r="H249" s="105">
        <v>2.7029999999999998</v>
      </c>
      <c r="I249" s="104">
        <v>17.48</v>
      </c>
      <c r="J249" s="75">
        <v>17.68</v>
      </c>
      <c r="K249" s="75">
        <v>17.670000000000002</v>
      </c>
      <c r="L249" s="75">
        <v>5.3239999999999998</v>
      </c>
      <c r="M249" s="75">
        <v>4.3170000000000002</v>
      </c>
      <c r="N249" s="105">
        <v>4.0819999999999999</v>
      </c>
      <c r="O249" s="104">
        <v>12.7</v>
      </c>
      <c r="P249" s="75">
        <v>12.83</v>
      </c>
      <c r="Q249" s="75">
        <v>12.72</v>
      </c>
      <c r="R249" s="75">
        <v>4.6989999999999998</v>
      </c>
      <c r="S249" s="75">
        <v>4.58</v>
      </c>
      <c r="T249" s="105">
        <v>4.6790000000000003</v>
      </c>
      <c r="U249" s="104">
        <v>12.99</v>
      </c>
      <c r="V249" s="75">
        <v>13.14</v>
      </c>
      <c r="W249" s="75">
        <v>13.17</v>
      </c>
      <c r="X249" s="75">
        <v>8.09</v>
      </c>
      <c r="Y249" s="75">
        <v>7.8620000000000001</v>
      </c>
      <c r="Z249" s="105">
        <v>7.98</v>
      </c>
      <c r="AA249" s="104">
        <v>13.83</v>
      </c>
      <c r="AB249" s="75">
        <v>13.85</v>
      </c>
      <c r="AC249" s="75">
        <v>13.89</v>
      </c>
      <c r="AD249" s="75">
        <v>4.585</v>
      </c>
      <c r="AE249" s="75">
        <v>4.3540000000000001</v>
      </c>
      <c r="AF249" s="105">
        <v>3.1030000000000002</v>
      </c>
    </row>
    <row r="250" spans="2:32" x14ac:dyDescent="0.3">
      <c r="B250" s="111">
        <v>40.833333333333293</v>
      </c>
      <c r="C250" s="104">
        <v>17.760000000000002</v>
      </c>
      <c r="D250" s="75">
        <v>17.96</v>
      </c>
      <c r="E250" s="75">
        <v>17.98</v>
      </c>
      <c r="F250" s="75">
        <v>3.9590000000000001</v>
      </c>
      <c r="G250" s="75">
        <v>3.3279999999999998</v>
      </c>
      <c r="H250" s="105">
        <v>3.4409999999999998</v>
      </c>
      <c r="I250" s="104">
        <v>17.63</v>
      </c>
      <c r="J250" s="75">
        <v>17.829999999999998</v>
      </c>
      <c r="K250" s="75">
        <v>17.809999999999999</v>
      </c>
      <c r="L250" s="75">
        <v>5.4249999999999998</v>
      </c>
      <c r="M250" s="75">
        <v>5.0709999999999997</v>
      </c>
      <c r="N250" s="105">
        <v>3.9169999999999998</v>
      </c>
      <c r="O250" s="104">
        <v>12.84</v>
      </c>
      <c r="P250" s="75">
        <v>12.97</v>
      </c>
      <c r="Q250" s="75">
        <v>12.86</v>
      </c>
      <c r="R250" s="75">
        <v>4.8890000000000002</v>
      </c>
      <c r="S250" s="75">
        <v>4.8979999999999997</v>
      </c>
      <c r="T250" s="105">
        <v>4.7519999999999998</v>
      </c>
      <c r="U250" s="104">
        <v>13.14</v>
      </c>
      <c r="V250" s="75">
        <v>13.28</v>
      </c>
      <c r="W250" s="75">
        <v>13.31</v>
      </c>
      <c r="X250" s="75">
        <v>8.14</v>
      </c>
      <c r="Y250" s="75">
        <v>8.19</v>
      </c>
      <c r="Z250" s="105">
        <v>7.8639999999999999</v>
      </c>
      <c r="AA250" s="104">
        <v>13.97</v>
      </c>
      <c r="AB250" s="75">
        <v>13.99</v>
      </c>
      <c r="AC250" s="75">
        <v>14.02</v>
      </c>
      <c r="AD250" s="75">
        <v>4.1710000000000003</v>
      </c>
      <c r="AE250" s="75">
        <v>4.0519999999999996</v>
      </c>
      <c r="AF250" s="105">
        <v>4.0090000000000003</v>
      </c>
    </row>
    <row r="251" spans="2:32" x14ac:dyDescent="0.3">
      <c r="B251" s="111">
        <v>40.999999999999957</v>
      </c>
      <c r="C251" s="104">
        <v>17.93</v>
      </c>
      <c r="D251" s="75">
        <v>18.25</v>
      </c>
      <c r="E251" s="75">
        <v>18.32</v>
      </c>
      <c r="F251" s="75">
        <v>3.5960000000000001</v>
      </c>
      <c r="G251" s="75">
        <v>3.194</v>
      </c>
      <c r="H251" s="105">
        <v>2.5289999999999999</v>
      </c>
      <c r="I251" s="104">
        <v>17.809999999999999</v>
      </c>
      <c r="J251" s="75">
        <v>18.100000000000001</v>
      </c>
      <c r="K251" s="75">
        <v>18.11</v>
      </c>
      <c r="L251" s="75">
        <v>5.3650000000000002</v>
      </c>
      <c r="M251" s="75">
        <v>4.6130000000000004</v>
      </c>
      <c r="N251" s="105">
        <v>4.7889999999999997</v>
      </c>
      <c r="O251" s="104">
        <v>12.99</v>
      </c>
      <c r="P251" s="75">
        <v>13.12</v>
      </c>
      <c r="Q251" s="75">
        <v>13.01</v>
      </c>
      <c r="R251" s="75">
        <v>4.7430000000000003</v>
      </c>
      <c r="S251" s="75">
        <v>5.2039999999999997</v>
      </c>
      <c r="T251" s="105">
        <v>4.8</v>
      </c>
      <c r="U251" s="104">
        <v>13.28</v>
      </c>
      <c r="V251" s="75">
        <v>13.41</v>
      </c>
      <c r="W251" s="75">
        <v>13.45</v>
      </c>
      <c r="X251" s="75">
        <v>7.9930000000000003</v>
      </c>
      <c r="Y251" s="75">
        <v>8.35</v>
      </c>
      <c r="Z251" s="105">
        <v>8.15</v>
      </c>
      <c r="AA251" s="104">
        <v>14.12</v>
      </c>
      <c r="AB251" s="75">
        <v>14.14</v>
      </c>
      <c r="AC251" s="75">
        <v>14.14</v>
      </c>
      <c r="AD251" s="75">
        <v>4.3319999999999999</v>
      </c>
      <c r="AE251" s="75">
        <v>4.4749999999999996</v>
      </c>
      <c r="AF251" s="105">
        <v>4.0629999999999997</v>
      </c>
    </row>
    <row r="252" spans="2:32" x14ac:dyDescent="0.3">
      <c r="B252" s="111">
        <v>41.166666666666622</v>
      </c>
      <c r="C252" s="104">
        <v>18.3</v>
      </c>
      <c r="D252" s="75">
        <v>19.02</v>
      </c>
      <c r="E252" s="75">
        <v>19.100000000000001</v>
      </c>
      <c r="F252" s="75">
        <v>3.3719999999999999</v>
      </c>
      <c r="G252" s="75">
        <v>2.9550000000000001</v>
      </c>
      <c r="H252" s="105">
        <v>2.895</v>
      </c>
      <c r="I252" s="104">
        <v>18.14</v>
      </c>
      <c r="J252" s="75">
        <v>18.8</v>
      </c>
      <c r="K252" s="75">
        <v>18.850000000000001</v>
      </c>
      <c r="L252" s="75">
        <v>5.4080000000000004</v>
      </c>
      <c r="M252" s="75">
        <v>4.4340000000000002</v>
      </c>
      <c r="N252" s="105">
        <v>4.28</v>
      </c>
      <c r="O252" s="104">
        <v>13.14</v>
      </c>
      <c r="P252" s="75">
        <v>13.28</v>
      </c>
      <c r="Q252" s="75">
        <v>13.16</v>
      </c>
      <c r="R252" s="75">
        <v>5.2880000000000003</v>
      </c>
      <c r="S252" s="75">
        <v>5.383</v>
      </c>
      <c r="T252" s="105">
        <v>5.0780000000000003</v>
      </c>
      <c r="U252" s="104">
        <v>13.42</v>
      </c>
      <c r="V252" s="75">
        <v>13.57</v>
      </c>
      <c r="W252" s="75">
        <v>13.6</v>
      </c>
      <c r="X252" s="75">
        <v>8.41</v>
      </c>
      <c r="Y252" s="75">
        <v>8.5399999999999991</v>
      </c>
      <c r="Z252" s="105">
        <v>8.08</v>
      </c>
      <c r="AA252" s="104">
        <v>14.25</v>
      </c>
      <c r="AB252" s="75">
        <v>14.28</v>
      </c>
      <c r="AC252" s="75">
        <v>14.27</v>
      </c>
      <c r="AD252" s="75">
        <v>3.7549999999999999</v>
      </c>
      <c r="AE252" s="75">
        <v>4.3529999999999998</v>
      </c>
      <c r="AF252" s="105">
        <v>3.8660000000000001</v>
      </c>
    </row>
    <row r="253" spans="2:32" x14ac:dyDescent="0.3">
      <c r="B253" s="111">
        <v>41.333333333333286</v>
      </c>
      <c r="C253" s="104">
        <v>19.12</v>
      </c>
      <c r="D253" s="75">
        <v>19.47</v>
      </c>
      <c r="E253" s="75">
        <v>19.53</v>
      </c>
      <c r="F253" s="75">
        <v>3.0790000000000002</v>
      </c>
      <c r="G253" s="75">
        <v>2.7679999999999998</v>
      </c>
      <c r="H253" s="105">
        <v>2.6219999999999999</v>
      </c>
      <c r="I253" s="104">
        <v>18.88</v>
      </c>
      <c r="J253" s="75">
        <v>19.260000000000002</v>
      </c>
      <c r="K253" s="75">
        <v>19.309999999999999</v>
      </c>
      <c r="L253" s="75">
        <v>4.6970000000000001</v>
      </c>
      <c r="M253" s="75">
        <v>4.3879999999999999</v>
      </c>
      <c r="N253" s="105">
        <v>4.133</v>
      </c>
      <c r="O253" s="104">
        <v>13.29</v>
      </c>
      <c r="P253" s="75">
        <v>13.43</v>
      </c>
      <c r="Q253" s="75">
        <v>13.3</v>
      </c>
      <c r="R253" s="75">
        <v>5.2759999999999998</v>
      </c>
      <c r="S253" s="75">
        <v>5.2709999999999999</v>
      </c>
      <c r="T253" s="105">
        <v>5.048</v>
      </c>
      <c r="U253" s="104">
        <v>13.57</v>
      </c>
      <c r="V253" s="75">
        <v>13.71</v>
      </c>
      <c r="W253" s="75">
        <v>13.74</v>
      </c>
      <c r="X253" s="75">
        <v>8.32</v>
      </c>
      <c r="Y253" s="75">
        <v>8.33</v>
      </c>
      <c r="Z253" s="105">
        <v>8.16</v>
      </c>
      <c r="AA253" s="104">
        <v>14.4</v>
      </c>
      <c r="AB253" s="75">
        <v>14.45</v>
      </c>
      <c r="AC253" s="75">
        <v>14.41</v>
      </c>
      <c r="AD253" s="75">
        <v>4.4130000000000003</v>
      </c>
      <c r="AE253" s="75">
        <v>5.0410000000000004</v>
      </c>
      <c r="AF253" s="105">
        <v>4.74</v>
      </c>
    </row>
    <row r="254" spans="2:32" x14ac:dyDescent="0.3">
      <c r="B254" s="111">
        <v>41.49999999999995</v>
      </c>
      <c r="C254" s="104">
        <v>19.559999999999999</v>
      </c>
      <c r="D254" s="75">
        <v>19.78</v>
      </c>
      <c r="E254" s="75">
        <v>19.829999999999998</v>
      </c>
      <c r="F254" s="75">
        <v>2.496</v>
      </c>
      <c r="G254" s="75">
        <v>2.915</v>
      </c>
      <c r="H254" s="105">
        <v>2.4169999999999998</v>
      </c>
      <c r="I254" s="104">
        <v>19.37</v>
      </c>
      <c r="J254" s="75">
        <v>19.57</v>
      </c>
      <c r="K254" s="75">
        <v>19.63</v>
      </c>
      <c r="L254" s="75">
        <v>4.3630000000000004</v>
      </c>
      <c r="M254" s="75">
        <v>4.2750000000000004</v>
      </c>
      <c r="N254" s="105">
        <v>3.8050000000000002</v>
      </c>
      <c r="O254" s="104">
        <v>13.44</v>
      </c>
      <c r="P254" s="75">
        <v>13.57</v>
      </c>
      <c r="Q254" s="75">
        <v>13.45</v>
      </c>
      <c r="R254" s="75">
        <v>5.1769999999999996</v>
      </c>
      <c r="S254" s="75">
        <v>5.1239999999999997</v>
      </c>
      <c r="T254" s="105">
        <v>5.2080000000000002</v>
      </c>
      <c r="U254" s="104">
        <v>13.72</v>
      </c>
      <c r="V254" s="75">
        <v>13.85</v>
      </c>
      <c r="W254" s="75">
        <v>13.88</v>
      </c>
      <c r="X254" s="75">
        <v>8.18</v>
      </c>
      <c r="Y254" s="75">
        <v>8.11</v>
      </c>
      <c r="Z254" s="105">
        <v>7.9580000000000002</v>
      </c>
      <c r="AA254" s="104">
        <v>14.56</v>
      </c>
      <c r="AB254" s="75">
        <v>14.61</v>
      </c>
      <c r="AC254" s="75">
        <v>14.56</v>
      </c>
      <c r="AD254" s="75">
        <v>4.2629999999999999</v>
      </c>
      <c r="AE254" s="75">
        <v>4.5019999999999998</v>
      </c>
      <c r="AF254" s="105">
        <v>4.51</v>
      </c>
    </row>
    <row r="255" spans="2:32" x14ac:dyDescent="0.3">
      <c r="B255" s="111">
        <v>41.666666666666615</v>
      </c>
      <c r="C255" s="104">
        <v>19.84</v>
      </c>
      <c r="D255" s="75">
        <v>19.98</v>
      </c>
      <c r="E255" s="75">
        <v>19.989999999999998</v>
      </c>
      <c r="F255" s="75">
        <v>2.4929999999999999</v>
      </c>
      <c r="G255" s="75">
        <v>2.395</v>
      </c>
      <c r="H255" s="105">
        <v>2.0750000000000002</v>
      </c>
      <c r="I255" s="104">
        <v>19.68</v>
      </c>
      <c r="J255" s="75">
        <v>19.78</v>
      </c>
      <c r="K255" s="75">
        <v>19.809999999999999</v>
      </c>
      <c r="L255" s="75">
        <v>3.3</v>
      </c>
      <c r="M255" s="75">
        <v>4.0910000000000002</v>
      </c>
      <c r="N255" s="105">
        <v>3.0659999999999998</v>
      </c>
      <c r="O255" s="104">
        <v>13.59</v>
      </c>
      <c r="P255" s="75">
        <v>13.71</v>
      </c>
      <c r="Q255" s="75">
        <v>13.59</v>
      </c>
      <c r="R255" s="75">
        <v>5.2309999999999999</v>
      </c>
      <c r="S255" s="75">
        <v>5.2809999999999997</v>
      </c>
      <c r="T255" s="105">
        <v>5.0659999999999998</v>
      </c>
      <c r="U255" s="104">
        <v>13.87</v>
      </c>
      <c r="V255" s="75">
        <v>13.99</v>
      </c>
      <c r="W255" s="75">
        <v>14.02</v>
      </c>
      <c r="X255" s="75">
        <v>8.19</v>
      </c>
      <c r="Y255" s="75">
        <v>8.17</v>
      </c>
      <c r="Z255" s="105">
        <v>8.11</v>
      </c>
      <c r="AA255" s="104">
        <v>14.71</v>
      </c>
      <c r="AB255" s="75">
        <v>14.76</v>
      </c>
      <c r="AC255" s="75">
        <v>14.71</v>
      </c>
      <c r="AD255" s="75">
        <v>4.3689999999999998</v>
      </c>
      <c r="AE255" s="75">
        <v>4.2759999999999998</v>
      </c>
      <c r="AF255" s="105">
        <v>4</v>
      </c>
    </row>
    <row r="256" spans="2:32" x14ac:dyDescent="0.3">
      <c r="B256" s="111">
        <v>41.833333333333279</v>
      </c>
      <c r="C256" s="104">
        <v>20.03</v>
      </c>
      <c r="D256" s="75">
        <v>20.079999999999998</v>
      </c>
      <c r="E256" s="75">
        <v>20.12</v>
      </c>
      <c r="F256" s="75">
        <v>2.1989999999999998</v>
      </c>
      <c r="G256" s="75">
        <v>2.2080000000000002</v>
      </c>
      <c r="H256" s="105">
        <v>1.802</v>
      </c>
      <c r="I256" s="104">
        <v>19.89</v>
      </c>
      <c r="J256" s="75">
        <v>19.899999999999999</v>
      </c>
      <c r="K256" s="75">
        <v>19.940000000000001</v>
      </c>
      <c r="L256" s="75">
        <v>3.6949999999999998</v>
      </c>
      <c r="M256" s="75">
        <v>4.05</v>
      </c>
      <c r="N256" s="105">
        <v>3.1480000000000001</v>
      </c>
      <c r="O256" s="104">
        <v>13.73</v>
      </c>
      <c r="P256" s="75">
        <v>13.86</v>
      </c>
      <c r="Q256" s="75">
        <v>13.74</v>
      </c>
      <c r="R256" s="75">
        <v>5.25</v>
      </c>
      <c r="S256" s="75">
        <v>5.1870000000000003</v>
      </c>
      <c r="T256" s="105">
        <v>5.2350000000000003</v>
      </c>
      <c r="U256" s="104">
        <v>14.01</v>
      </c>
      <c r="V256" s="75">
        <v>14.13</v>
      </c>
      <c r="W256" s="75">
        <v>14.17</v>
      </c>
      <c r="X256" s="75">
        <v>8.14</v>
      </c>
      <c r="Y256" s="75">
        <v>8.0500000000000007</v>
      </c>
      <c r="Z256" s="105">
        <v>8.06</v>
      </c>
      <c r="AA256" s="104">
        <v>14.86</v>
      </c>
      <c r="AB256" s="75">
        <v>14.9</v>
      </c>
      <c r="AC256" s="75">
        <v>14.87</v>
      </c>
      <c r="AD256" s="75">
        <v>4.319</v>
      </c>
      <c r="AE256" s="75">
        <v>4.8159999999999998</v>
      </c>
      <c r="AF256" s="105">
        <v>3.2810000000000001</v>
      </c>
    </row>
    <row r="257" spans="2:32" x14ac:dyDescent="0.3">
      <c r="B257" s="111">
        <v>41.999999999999943</v>
      </c>
      <c r="C257" s="104">
        <v>20.149999999999999</v>
      </c>
      <c r="D257" s="75">
        <v>20.170000000000002</v>
      </c>
      <c r="E257" s="75">
        <v>20.18</v>
      </c>
      <c r="F257" s="75">
        <v>1.597</v>
      </c>
      <c r="G257" s="75">
        <v>1.623</v>
      </c>
      <c r="H257" s="105">
        <v>2.0750000000000002</v>
      </c>
      <c r="I257" s="104">
        <v>20.02</v>
      </c>
      <c r="J257" s="75">
        <v>19.989999999999998</v>
      </c>
      <c r="K257" s="75">
        <v>20.010000000000002</v>
      </c>
      <c r="L257" s="75">
        <v>3.3610000000000002</v>
      </c>
      <c r="M257" s="75">
        <v>3.9369999999999998</v>
      </c>
      <c r="N257" s="105">
        <v>2.82</v>
      </c>
      <c r="O257" s="104">
        <v>13.88</v>
      </c>
      <c r="P257" s="75">
        <v>14</v>
      </c>
      <c r="Q257" s="75">
        <v>13.89</v>
      </c>
      <c r="R257" s="75">
        <v>5.2220000000000004</v>
      </c>
      <c r="S257" s="75">
        <v>5.2629999999999999</v>
      </c>
      <c r="T257" s="105">
        <v>5.1580000000000004</v>
      </c>
      <c r="U257" s="104">
        <v>14.15</v>
      </c>
      <c r="V257" s="75">
        <v>14.27</v>
      </c>
      <c r="W257" s="75">
        <v>14.31</v>
      </c>
      <c r="X257" s="75">
        <v>8.08</v>
      </c>
      <c r="Y257" s="75">
        <v>8.1199999999999992</v>
      </c>
      <c r="Z257" s="105">
        <v>8.02</v>
      </c>
      <c r="AA257" s="104">
        <v>15</v>
      </c>
      <c r="AB257" s="75">
        <v>15.04</v>
      </c>
      <c r="AC257" s="75">
        <v>15.03</v>
      </c>
      <c r="AD257" s="75">
        <v>3.895</v>
      </c>
      <c r="AE257" s="75">
        <v>4.1950000000000003</v>
      </c>
      <c r="AF257" s="105">
        <v>3.9329999999999998</v>
      </c>
    </row>
    <row r="258" spans="2:32" x14ac:dyDescent="0.3">
      <c r="B258" s="111">
        <v>42.166666666666607</v>
      </c>
      <c r="C258" s="104">
        <v>20.22</v>
      </c>
      <c r="D258" s="75">
        <v>20.22</v>
      </c>
      <c r="E258" s="75">
        <v>20.21</v>
      </c>
      <c r="F258" s="75">
        <v>0.59</v>
      </c>
      <c r="G258" s="75">
        <v>0.85399999999999998</v>
      </c>
      <c r="H258" s="105">
        <v>0.61399999999999999</v>
      </c>
      <c r="I258" s="104">
        <v>20.100000000000001</v>
      </c>
      <c r="J258" s="75">
        <v>20.04</v>
      </c>
      <c r="K258" s="75">
        <v>20.04</v>
      </c>
      <c r="L258" s="75">
        <v>2.7989999999999999</v>
      </c>
      <c r="M258" s="75">
        <v>2.8839999999999999</v>
      </c>
      <c r="N258" s="105">
        <v>2.3340000000000001</v>
      </c>
      <c r="O258" s="104">
        <v>14.02</v>
      </c>
      <c r="P258" s="75">
        <v>14.14</v>
      </c>
      <c r="Q258" s="75">
        <v>14.03</v>
      </c>
      <c r="R258" s="75">
        <v>5.1449999999999996</v>
      </c>
      <c r="S258" s="75">
        <v>5.335</v>
      </c>
      <c r="T258" s="105">
        <v>5.19</v>
      </c>
      <c r="U258" s="104">
        <v>14.29</v>
      </c>
      <c r="V258" s="75">
        <v>14.41</v>
      </c>
      <c r="W258" s="75">
        <v>14.45</v>
      </c>
      <c r="X258" s="75">
        <v>7.9429999999999996</v>
      </c>
      <c r="Y258" s="75">
        <v>8.16</v>
      </c>
      <c r="Z258" s="105">
        <v>8.08</v>
      </c>
      <c r="AA258" s="104">
        <v>15.15</v>
      </c>
      <c r="AB258" s="75">
        <v>15.2</v>
      </c>
      <c r="AC258" s="75">
        <v>15.17</v>
      </c>
      <c r="AD258" s="75">
        <v>3.774</v>
      </c>
      <c r="AE258" s="75">
        <v>4.5919999999999996</v>
      </c>
      <c r="AF258" s="105">
        <v>3.1960000000000002</v>
      </c>
    </row>
    <row r="259" spans="2:32" x14ac:dyDescent="0.3">
      <c r="B259" s="111">
        <v>42.333333333333272</v>
      </c>
      <c r="C259" s="104">
        <v>20.260000000000002</v>
      </c>
      <c r="D259" s="75">
        <v>20.23</v>
      </c>
      <c r="E259" s="75">
        <v>20.23</v>
      </c>
      <c r="F259" s="75">
        <v>4.9000000000000002E-2</v>
      </c>
      <c r="G259" s="75">
        <v>0.245</v>
      </c>
      <c r="H259" s="105">
        <v>0.311</v>
      </c>
      <c r="I259" s="104">
        <v>20.14</v>
      </c>
      <c r="J259" s="75">
        <v>20.059999999999999</v>
      </c>
      <c r="K259" s="75">
        <v>20.059999999999999</v>
      </c>
      <c r="L259" s="75">
        <v>1.2969999999999999</v>
      </c>
      <c r="M259" s="75">
        <v>1.794</v>
      </c>
      <c r="N259" s="105">
        <v>1.327</v>
      </c>
      <c r="O259" s="104">
        <v>14.16</v>
      </c>
      <c r="P259" s="75">
        <v>14.3</v>
      </c>
      <c r="Q259" s="75">
        <v>14.18</v>
      </c>
      <c r="R259" s="75">
        <v>5.27</v>
      </c>
      <c r="S259" s="75">
        <v>5.8550000000000004</v>
      </c>
      <c r="T259" s="105">
        <v>5.2380000000000004</v>
      </c>
      <c r="U259" s="104">
        <v>14.43</v>
      </c>
      <c r="V259" s="75">
        <v>14.56</v>
      </c>
      <c r="W259" s="75">
        <v>14.6</v>
      </c>
      <c r="X259" s="75">
        <v>8.1</v>
      </c>
      <c r="Y259" s="75">
        <v>8.6300000000000008</v>
      </c>
      <c r="Z259" s="105">
        <v>8.58</v>
      </c>
      <c r="AA259" s="104">
        <v>15.3</v>
      </c>
      <c r="AB259" s="75">
        <v>15.33</v>
      </c>
      <c r="AC259" s="75">
        <v>15.32</v>
      </c>
      <c r="AD259" s="75">
        <v>4.2880000000000003</v>
      </c>
      <c r="AE259" s="75">
        <v>3.6819999999999999</v>
      </c>
      <c r="AF259" s="105">
        <v>3.976</v>
      </c>
    </row>
    <row r="260" spans="2:32" x14ac:dyDescent="0.3">
      <c r="B260" s="111">
        <v>42.499999999999936</v>
      </c>
      <c r="C260" s="104">
        <v>20.28</v>
      </c>
      <c r="D260" s="75">
        <v>20.239999999999998</v>
      </c>
      <c r="E260" s="75">
        <v>20.239999999999998</v>
      </c>
      <c r="F260" s="75">
        <v>-0.45300000000000001</v>
      </c>
      <c r="G260" s="75">
        <v>2.3E-2</v>
      </c>
      <c r="H260" s="105">
        <v>0.13900000000000001</v>
      </c>
      <c r="I260" s="104">
        <v>20.149999999999999</v>
      </c>
      <c r="J260" s="75">
        <v>20.07</v>
      </c>
      <c r="K260" s="75">
        <v>20.07</v>
      </c>
      <c r="L260" s="75">
        <v>0.42399999999999999</v>
      </c>
      <c r="M260" s="75">
        <v>0.98499999999999999</v>
      </c>
      <c r="N260" s="105">
        <v>0.77100000000000002</v>
      </c>
      <c r="O260" s="104">
        <v>14.31</v>
      </c>
      <c r="P260" s="75">
        <v>14.46</v>
      </c>
      <c r="Q260" s="75">
        <v>14.33</v>
      </c>
      <c r="R260" s="75">
        <v>5.4690000000000003</v>
      </c>
      <c r="S260" s="75">
        <v>5.9009999999999998</v>
      </c>
      <c r="T260" s="105">
        <v>5.68</v>
      </c>
      <c r="U260" s="104">
        <v>14.57</v>
      </c>
      <c r="V260" s="75">
        <v>14.71</v>
      </c>
      <c r="W260" s="75">
        <v>14.75</v>
      </c>
      <c r="X260" s="75">
        <v>8.25</v>
      </c>
      <c r="Y260" s="75">
        <v>8.66</v>
      </c>
      <c r="Z260" s="105">
        <v>8.4700000000000006</v>
      </c>
      <c r="AA260" s="104">
        <v>15.45</v>
      </c>
      <c r="AB260" s="75">
        <v>15.48</v>
      </c>
      <c r="AC260" s="75">
        <v>15.45</v>
      </c>
      <c r="AD260" s="75">
        <v>4.2779999999999996</v>
      </c>
      <c r="AE260" s="75">
        <v>4.9130000000000003</v>
      </c>
      <c r="AF260" s="105">
        <v>3.4980000000000002</v>
      </c>
    </row>
    <row r="261" spans="2:32" x14ac:dyDescent="0.3">
      <c r="B261" s="111">
        <v>42.6666666666666</v>
      </c>
      <c r="C261" s="104">
        <v>20.28</v>
      </c>
      <c r="D261" s="75">
        <v>20.239999999999998</v>
      </c>
      <c r="E261" s="75">
        <v>20.25</v>
      </c>
      <c r="F261" s="75">
        <v>-0.89700000000000002</v>
      </c>
      <c r="G261" s="75">
        <v>-0.13900000000000001</v>
      </c>
      <c r="H261" s="105">
        <v>6.9000000000000006E-2</v>
      </c>
      <c r="I261" s="104">
        <v>20.149999999999999</v>
      </c>
      <c r="J261" s="75">
        <v>20.079999999999998</v>
      </c>
      <c r="K261" s="75">
        <v>20.079999999999998</v>
      </c>
      <c r="L261" s="75">
        <v>0.222</v>
      </c>
      <c r="M261" s="75">
        <v>0.74</v>
      </c>
      <c r="N261" s="105">
        <v>0.77600000000000002</v>
      </c>
      <c r="O261" s="104">
        <v>14.47</v>
      </c>
      <c r="P261" s="75">
        <v>14.61</v>
      </c>
      <c r="Q261" s="75">
        <v>14.49</v>
      </c>
      <c r="R261" s="75">
        <v>5.67</v>
      </c>
      <c r="S261" s="75">
        <v>5.7939999999999996</v>
      </c>
      <c r="T261" s="105">
        <v>5.6150000000000002</v>
      </c>
      <c r="U261" s="104">
        <v>14.72</v>
      </c>
      <c r="V261" s="75">
        <v>14.86</v>
      </c>
      <c r="W261" s="75">
        <v>14.9</v>
      </c>
      <c r="X261" s="75">
        <v>8.41</v>
      </c>
      <c r="Y261" s="75">
        <v>8.52</v>
      </c>
      <c r="Z261" s="105">
        <v>8.35</v>
      </c>
      <c r="AA261" s="104">
        <v>15.59</v>
      </c>
      <c r="AB261" s="75">
        <v>15.61</v>
      </c>
      <c r="AC261" s="75">
        <v>15.62</v>
      </c>
      <c r="AD261" s="75">
        <v>3.9849999999999999</v>
      </c>
      <c r="AE261" s="75">
        <v>4.1580000000000004</v>
      </c>
      <c r="AF261" s="105">
        <v>3.548</v>
      </c>
    </row>
    <row r="262" spans="2:32" x14ac:dyDescent="0.3">
      <c r="B262" s="111">
        <v>42.833333333333265</v>
      </c>
      <c r="C262" s="104">
        <v>20.25</v>
      </c>
      <c r="D262" s="75">
        <v>20.239999999999998</v>
      </c>
      <c r="E262" s="75">
        <v>20.239999999999998</v>
      </c>
      <c r="F262" s="75">
        <v>-1.1299999999999999</v>
      </c>
      <c r="G262" s="75">
        <v>-9.4E-2</v>
      </c>
      <c r="H262" s="105">
        <v>9.9000000000000005E-2</v>
      </c>
      <c r="I262" s="104">
        <v>20.12</v>
      </c>
      <c r="J262" s="75">
        <v>20.079999999999998</v>
      </c>
      <c r="K262" s="75">
        <v>20.09</v>
      </c>
      <c r="L262" s="75">
        <v>-0.50600000000000001</v>
      </c>
      <c r="M262" s="75">
        <v>0.57899999999999996</v>
      </c>
      <c r="N262" s="105">
        <v>0.51100000000000001</v>
      </c>
      <c r="O262" s="104">
        <v>14.61</v>
      </c>
      <c r="P262" s="75">
        <v>14.76</v>
      </c>
      <c r="Q262" s="75">
        <v>14.64</v>
      </c>
      <c r="R262" s="75">
        <v>5.5190000000000001</v>
      </c>
      <c r="S262" s="75">
        <v>5.6689999999999996</v>
      </c>
      <c r="T262" s="105">
        <v>5.5209999999999999</v>
      </c>
      <c r="U262" s="104">
        <v>14.86</v>
      </c>
      <c r="V262" s="75">
        <v>15</v>
      </c>
      <c r="W262" s="75">
        <v>15.03</v>
      </c>
      <c r="X262" s="75">
        <v>8.2799999999999994</v>
      </c>
      <c r="Y262" s="75">
        <v>8.36</v>
      </c>
      <c r="Z262" s="105">
        <v>8.08</v>
      </c>
      <c r="AA262" s="104">
        <v>15.75</v>
      </c>
      <c r="AB262" s="75">
        <v>15.78</v>
      </c>
      <c r="AC262" s="75">
        <v>15.78</v>
      </c>
      <c r="AD262" s="75">
        <v>4.4950000000000001</v>
      </c>
      <c r="AE262" s="75">
        <v>4.3360000000000003</v>
      </c>
      <c r="AF262" s="105">
        <v>3.581</v>
      </c>
    </row>
    <row r="263" spans="2:32" x14ac:dyDescent="0.3">
      <c r="B263" s="111">
        <v>42.999999999999929</v>
      </c>
      <c r="C263" s="104">
        <v>20.239999999999998</v>
      </c>
      <c r="D263" s="75">
        <v>20.25</v>
      </c>
      <c r="E263" s="75">
        <v>20.25</v>
      </c>
      <c r="F263" s="75">
        <v>-0.71599999999999997</v>
      </c>
      <c r="G263" s="75">
        <v>3.4000000000000002E-2</v>
      </c>
      <c r="H263" s="105">
        <v>-0.111</v>
      </c>
      <c r="I263" s="104">
        <v>20.100000000000001</v>
      </c>
      <c r="J263" s="75">
        <v>20.100000000000001</v>
      </c>
      <c r="K263" s="75">
        <v>20.09</v>
      </c>
      <c r="L263" s="75">
        <v>-0.59599999999999997</v>
      </c>
      <c r="M263" s="75">
        <v>0.60199999999999998</v>
      </c>
      <c r="N263" s="105">
        <v>0.41499999999999998</v>
      </c>
      <c r="O263" s="104">
        <v>14.76</v>
      </c>
      <c r="P263" s="75">
        <v>14.9</v>
      </c>
      <c r="Q263" s="75">
        <v>14.77</v>
      </c>
      <c r="R263" s="75">
        <v>5.468</v>
      </c>
      <c r="S263" s="75">
        <v>5.4420000000000002</v>
      </c>
      <c r="T263" s="105">
        <v>5.3289999999999997</v>
      </c>
      <c r="U263" s="104">
        <v>15</v>
      </c>
      <c r="V263" s="75">
        <v>15.13</v>
      </c>
      <c r="W263" s="75">
        <v>15.17</v>
      </c>
      <c r="X263" s="75">
        <v>8.16</v>
      </c>
      <c r="Y263" s="75">
        <v>8.11</v>
      </c>
      <c r="Z263" s="105">
        <v>8.14</v>
      </c>
      <c r="AA263" s="104">
        <v>15.9</v>
      </c>
      <c r="AB263" s="75">
        <v>15.98</v>
      </c>
      <c r="AC263" s="75">
        <v>16.07</v>
      </c>
      <c r="AD263" s="75">
        <v>5.8520000000000003</v>
      </c>
      <c r="AE263" s="75">
        <v>4.2469999999999999</v>
      </c>
      <c r="AF263" s="105">
        <v>3.5649999999999999</v>
      </c>
    </row>
    <row r="264" spans="2:32" x14ac:dyDescent="0.3">
      <c r="B264" s="111">
        <v>43.166666666666593</v>
      </c>
      <c r="C264" s="104">
        <v>20.22</v>
      </c>
      <c r="D264" s="75">
        <v>20.25</v>
      </c>
      <c r="E264" s="75">
        <v>20.25</v>
      </c>
      <c r="F264" s="75">
        <v>-1.052</v>
      </c>
      <c r="G264" s="75">
        <v>-5.8999999999999997E-2</v>
      </c>
      <c r="H264" s="105">
        <v>-5.6000000000000001E-2</v>
      </c>
      <c r="I264" s="104">
        <v>20.079999999999998</v>
      </c>
      <c r="J264" s="75">
        <v>20.100000000000001</v>
      </c>
      <c r="K264" s="75">
        <v>20.100000000000001</v>
      </c>
      <c r="L264" s="75">
        <v>-0.33600000000000002</v>
      </c>
      <c r="M264" s="75">
        <v>0.75700000000000001</v>
      </c>
      <c r="N264" s="105">
        <v>0.40300000000000002</v>
      </c>
      <c r="O264" s="104">
        <v>14.89</v>
      </c>
      <c r="P264" s="75">
        <v>15.03</v>
      </c>
      <c r="Q264" s="75">
        <v>14.92</v>
      </c>
      <c r="R264" s="75">
        <v>5.258</v>
      </c>
      <c r="S264" s="75">
        <v>5.4960000000000004</v>
      </c>
      <c r="T264" s="105">
        <v>5.3550000000000004</v>
      </c>
      <c r="U264" s="104">
        <v>15.14</v>
      </c>
      <c r="V264" s="75">
        <v>15.27</v>
      </c>
      <c r="W264" s="75">
        <v>15.3</v>
      </c>
      <c r="X264" s="75">
        <v>7.9630000000000001</v>
      </c>
      <c r="Y264" s="75">
        <v>8.16</v>
      </c>
      <c r="Z264" s="105">
        <v>8.18</v>
      </c>
      <c r="AA264" s="104">
        <v>16.77</v>
      </c>
      <c r="AB264" s="75">
        <v>16.84</v>
      </c>
      <c r="AC264" s="75">
        <v>16.850000000000001</v>
      </c>
      <c r="AD264" s="75">
        <v>5.2670000000000003</v>
      </c>
      <c r="AE264" s="75">
        <v>3.7210000000000001</v>
      </c>
      <c r="AF264" s="105">
        <v>3.29</v>
      </c>
    </row>
    <row r="265" spans="2:32" x14ac:dyDescent="0.3">
      <c r="B265" s="111">
        <v>43.333333333333258</v>
      </c>
      <c r="C265" s="104">
        <v>20.22</v>
      </c>
      <c r="D265" s="75">
        <v>20.22</v>
      </c>
      <c r="E265" s="75">
        <v>20.25</v>
      </c>
      <c r="F265" s="75">
        <v>-0.216</v>
      </c>
      <c r="G265" s="75">
        <v>-0.9</v>
      </c>
      <c r="H265" s="105">
        <v>-8.3000000000000004E-2</v>
      </c>
      <c r="I265" s="104">
        <v>20.079999999999998</v>
      </c>
      <c r="J265" s="75">
        <v>20.079999999999998</v>
      </c>
      <c r="K265" s="75">
        <v>20.100000000000001</v>
      </c>
      <c r="L265" s="75">
        <v>-0.73399999999999999</v>
      </c>
      <c r="M265" s="75">
        <v>0.48499999999999999</v>
      </c>
      <c r="N265" s="105">
        <v>0.49099999999999999</v>
      </c>
      <c r="O265" s="104">
        <v>15.05</v>
      </c>
      <c r="P265" s="75">
        <v>15.17</v>
      </c>
      <c r="Q265" s="75">
        <v>15.06</v>
      </c>
      <c r="R265" s="75">
        <v>5.415</v>
      </c>
      <c r="S265" s="75">
        <v>5.5069999999999997</v>
      </c>
      <c r="T265" s="105">
        <v>5.3949999999999996</v>
      </c>
      <c r="U265" s="104">
        <v>15.28</v>
      </c>
      <c r="V265" s="75">
        <v>15.4</v>
      </c>
      <c r="W265" s="75">
        <v>15.44</v>
      </c>
      <c r="X265" s="75">
        <v>8.0500000000000007</v>
      </c>
      <c r="Y265" s="75">
        <v>8.19</v>
      </c>
      <c r="Z265" s="105">
        <v>8.43</v>
      </c>
      <c r="AA265" s="104">
        <v>17.3</v>
      </c>
      <c r="AB265" s="75">
        <v>17.350000000000001</v>
      </c>
      <c r="AC265" s="75">
        <v>17.309999999999999</v>
      </c>
      <c r="AD265" s="75">
        <v>4.6820000000000004</v>
      </c>
      <c r="AE265" s="75">
        <v>3.1190000000000002</v>
      </c>
      <c r="AF265" s="105">
        <v>3.1779999999999999</v>
      </c>
    </row>
    <row r="266" spans="2:32" x14ac:dyDescent="0.3">
      <c r="B266" s="111">
        <v>43.499999999999922</v>
      </c>
      <c r="C266" s="104">
        <v>20.22</v>
      </c>
      <c r="D266" s="75">
        <v>20.2</v>
      </c>
      <c r="E266" s="75">
        <v>20.239999999999998</v>
      </c>
      <c r="F266" s="75">
        <v>-0.42899999999999999</v>
      </c>
      <c r="G266" s="75">
        <v>-0.182</v>
      </c>
      <c r="H266" s="105">
        <v>-0.36199999999999999</v>
      </c>
      <c r="I266" s="104">
        <v>20.079999999999998</v>
      </c>
      <c r="J266" s="75">
        <v>20.059999999999999</v>
      </c>
      <c r="K266" s="75">
        <v>20.09</v>
      </c>
      <c r="L266" s="75">
        <v>0.54</v>
      </c>
      <c r="M266" s="75">
        <v>-0.53</v>
      </c>
      <c r="N266" s="105">
        <v>0.27200000000000002</v>
      </c>
      <c r="O266" s="104">
        <v>15.19</v>
      </c>
      <c r="P266" s="75">
        <v>15.32</v>
      </c>
      <c r="Q266" s="75">
        <v>15.21</v>
      </c>
      <c r="R266" s="75">
        <v>5.3540000000000001</v>
      </c>
      <c r="S266" s="75">
        <v>5.8049999999999997</v>
      </c>
      <c r="T266" s="105">
        <v>5.62</v>
      </c>
      <c r="U266" s="104">
        <v>15.42</v>
      </c>
      <c r="V266" s="75">
        <v>15.53</v>
      </c>
      <c r="W266" s="75">
        <v>15.58</v>
      </c>
      <c r="X266" s="75">
        <v>7.9859999999999998</v>
      </c>
      <c r="Y266" s="75">
        <v>8.48</v>
      </c>
      <c r="Z266" s="105">
        <v>8.64</v>
      </c>
      <c r="AA266" s="104">
        <v>17.64</v>
      </c>
      <c r="AB266" s="75">
        <v>17.71</v>
      </c>
      <c r="AC266" s="75">
        <v>17.63</v>
      </c>
      <c r="AD266" s="75">
        <v>4.0979999999999999</v>
      </c>
      <c r="AE266" s="75">
        <v>2.6680000000000001</v>
      </c>
      <c r="AF266" s="105">
        <v>2.74</v>
      </c>
    </row>
    <row r="267" spans="2:32" x14ac:dyDescent="0.3">
      <c r="B267" s="111">
        <v>43.666666666666586</v>
      </c>
      <c r="C267" s="104">
        <v>20.21</v>
      </c>
      <c r="D267" s="75">
        <v>20.2</v>
      </c>
      <c r="E267" s="75">
        <v>20.22</v>
      </c>
      <c r="F267" s="75">
        <v>-0.61899999999999999</v>
      </c>
      <c r="G267" s="75">
        <v>0.04</v>
      </c>
      <c r="H267" s="105">
        <v>-0.46100000000000002</v>
      </c>
      <c r="I267" s="104">
        <v>20.07</v>
      </c>
      <c r="J267" s="75">
        <v>20.059999999999999</v>
      </c>
      <c r="K267" s="75">
        <v>20.07</v>
      </c>
      <c r="L267" s="75">
        <v>0.23799999999999999</v>
      </c>
      <c r="M267" s="75">
        <v>0.157</v>
      </c>
      <c r="N267" s="105">
        <v>-0.153</v>
      </c>
      <c r="O267" s="104">
        <v>15.33</v>
      </c>
      <c r="P267" s="75">
        <v>15.48</v>
      </c>
      <c r="Q267" s="75">
        <v>15.35</v>
      </c>
      <c r="R267" s="75">
        <v>5.734</v>
      </c>
      <c r="S267" s="75">
        <v>6.1050000000000004</v>
      </c>
      <c r="T267" s="105">
        <v>5.8780000000000001</v>
      </c>
      <c r="U267" s="104">
        <v>15.56</v>
      </c>
      <c r="V267" s="75">
        <v>15.68</v>
      </c>
      <c r="W267" s="75">
        <v>15.73</v>
      </c>
      <c r="X267" s="75">
        <v>8.3800000000000008</v>
      </c>
      <c r="Y267" s="75">
        <v>8.81</v>
      </c>
      <c r="Z267" s="105">
        <v>8.85</v>
      </c>
      <c r="AA267" s="104">
        <v>17.850000000000001</v>
      </c>
      <c r="AB267" s="75">
        <v>17.899999999999999</v>
      </c>
      <c r="AC267" s="75">
        <v>17.79</v>
      </c>
      <c r="AD267" s="75">
        <v>3.4409999999999998</v>
      </c>
      <c r="AE267" s="75">
        <v>2.1139999999999999</v>
      </c>
      <c r="AF267" s="105">
        <v>2.4289999999999998</v>
      </c>
    </row>
    <row r="268" spans="2:32" x14ac:dyDescent="0.3">
      <c r="B268" s="111">
        <v>43.83333333333325</v>
      </c>
      <c r="C268" s="104">
        <v>20.190000000000001</v>
      </c>
      <c r="D268" s="75">
        <v>20.190000000000001</v>
      </c>
      <c r="E268" s="75">
        <v>20.21</v>
      </c>
      <c r="F268" s="75">
        <v>-0.77100000000000002</v>
      </c>
      <c r="G268" s="75">
        <v>-0.34799999999999998</v>
      </c>
      <c r="H268" s="105">
        <v>-0.32100000000000001</v>
      </c>
      <c r="I268" s="104">
        <v>20.059999999999999</v>
      </c>
      <c r="J268" s="75">
        <v>20.05</v>
      </c>
      <c r="K268" s="75">
        <v>20.059999999999999</v>
      </c>
      <c r="L268" s="75">
        <v>-3.1E-2</v>
      </c>
      <c r="M268" s="75">
        <v>0.39900000000000002</v>
      </c>
      <c r="N268" s="105">
        <v>-0.35199999999999998</v>
      </c>
      <c r="O268" s="104">
        <v>15.48</v>
      </c>
      <c r="P268" s="75">
        <v>15.62</v>
      </c>
      <c r="Q268" s="75">
        <v>15.52</v>
      </c>
      <c r="R268" s="75">
        <v>5.8659999999999997</v>
      </c>
      <c r="S268" s="75">
        <v>5.9020000000000001</v>
      </c>
      <c r="T268" s="105">
        <v>5.95</v>
      </c>
      <c r="U268" s="104">
        <v>15.69</v>
      </c>
      <c r="V268" s="75">
        <v>15.81</v>
      </c>
      <c r="W268" s="75">
        <v>15.88</v>
      </c>
      <c r="X268" s="75">
        <v>8.6</v>
      </c>
      <c r="Y268" s="75">
        <v>8.68</v>
      </c>
      <c r="Z268" s="105">
        <v>8.8800000000000008</v>
      </c>
      <c r="AA268" s="104">
        <v>17.96</v>
      </c>
      <c r="AB268" s="75">
        <v>18</v>
      </c>
      <c r="AC268" s="75">
        <v>17.84</v>
      </c>
      <c r="AD268" s="75">
        <v>2.9279999999999999</v>
      </c>
      <c r="AE268" s="75">
        <v>1.615</v>
      </c>
      <c r="AF268" s="105">
        <v>2.19</v>
      </c>
    </row>
    <row r="269" spans="2:32" x14ac:dyDescent="0.3">
      <c r="B269" s="111">
        <v>43.999999999999915</v>
      </c>
      <c r="C269" s="104">
        <v>20.21</v>
      </c>
      <c r="D269" s="75">
        <v>20.079999999999998</v>
      </c>
      <c r="E269" s="75">
        <v>20.21</v>
      </c>
      <c r="F269" s="75">
        <v>-4.0000000000000001E-3</v>
      </c>
      <c r="G269" s="75">
        <v>-0.55100000000000005</v>
      </c>
      <c r="H269" s="105">
        <v>-0.252</v>
      </c>
      <c r="I269" s="104">
        <v>20.079999999999998</v>
      </c>
      <c r="J269" s="75">
        <v>20.02</v>
      </c>
      <c r="K269" s="75">
        <v>20.059999999999999</v>
      </c>
      <c r="L269" s="75">
        <v>-2.3E-2</v>
      </c>
      <c r="M269" s="75">
        <v>0.124</v>
      </c>
      <c r="N269" s="105">
        <v>0.113</v>
      </c>
      <c r="O269" s="104">
        <v>15.62</v>
      </c>
      <c r="P269" s="75">
        <v>15.77</v>
      </c>
      <c r="Q269" s="75">
        <v>15.67</v>
      </c>
      <c r="R269" s="75">
        <v>5.8579999999999997</v>
      </c>
      <c r="S269" s="75">
        <v>5.9710000000000001</v>
      </c>
      <c r="T269" s="105">
        <v>5.8810000000000002</v>
      </c>
      <c r="U269" s="104">
        <v>15.83</v>
      </c>
      <c r="V269" s="75">
        <v>15.95</v>
      </c>
      <c r="W269" s="75">
        <v>16.02</v>
      </c>
      <c r="X269" s="75">
        <v>8.76</v>
      </c>
      <c r="Y269" s="75">
        <v>8.81</v>
      </c>
      <c r="Z269" s="105">
        <v>8.92</v>
      </c>
      <c r="AA269" s="104">
        <v>18.04</v>
      </c>
      <c r="AB269" s="75">
        <v>18.059999999999999</v>
      </c>
      <c r="AC269" s="75">
        <v>17.86</v>
      </c>
      <c r="AD269" s="75">
        <v>2.5099999999999998</v>
      </c>
      <c r="AE269" s="75">
        <v>0.99399999999999999</v>
      </c>
      <c r="AF269" s="105">
        <v>2.42</v>
      </c>
    </row>
    <row r="270" spans="2:32" x14ac:dyDescent="0.3">
      <c r="B270" s="111">
        <v>44.166666666666579</v>
      </c>
      <c r="C270" s="104"/>
      <c r="H270" s="105"/>
      <c r="I270" s="104"/>
      <c r="N270" s="105"/>
      <c r="O270" s="104">
        <v>15.77</v>
      </c>
      <c r="P270" s="75">
        <v>15.91</v>
      </c>
      <c r="Q270" s="75">
        <v>15.81</v>
      </c>
      <c r="R270" s="75">
        <v>6.02</v>
      </c>
      <c r="S270" s="75">
        <v>5.9930000000000003</v>
      </c>
      <c r="T270" s="105">
        <v>5.891</v>
      </c>
      <c r="U270" s="104">
        <v>15.96</v>
      </c>
      <c r="V270" s="75">
        <v>16.09</v>
      </c>
      <c r="W270" s="75">
        <v>16.149999999999999</v>
      </c>
      <c r="X270" s="75">
        <v>8.89</v>
      </c>
      <c r="Y270" s="75">
        <v>8.8800000000000008</v>
      </c>
      <c r="Z270" s="105">
        <v>8.92</v>
      </c>
      <c r="AA270" s="104">
        <v>18.05</v>
      </c>
      <c r="AB270" s="75">
        <v>18.11</v>
      </c>
      <c r="AC270" s="75">
        <v>17.88</v>
      </c>
      <c r="AD270" s="75">
        <v>1.018</v>
      </c>
      <c r="AE270" s="75">
        <v>0.91</v>
      </c>
      <c r="AF270" s="105">
        <v>1.1639999999999999</v>
      </c>
    </row>
    <row r="271" spans="2:32" x14ac:dyDescent="0.3">
      <c r="B271" s="111">
        <v>44.333333333333243</v>
      </c>
      <c r="C271" s="104"/>
      <c r="H271" s="105"/>
      <c r="I271" s="104"/>
      <c r="N271" s="105"/>
      <c r="O271" s="104">
        <v>15.91</v>
      </c>
      <c r="P271" s="75">
        <v>16.059999999999999</v>
      </c>
      <c r="Q271" s="75">
        <v>15.95</v>
      </c>
      <c r="R271" s="75">
        <v>6.0229999999999997</v>
      </c>
      <c r="S271" s="75">
        <v>6.117</v>
      </c>
      <c r="T271" s="105">
        <v>5.8380000000000001</v>
      </c>
      <c r="U271" s="104">
        <v>16.100000000000001</v>
      </c>
      <c r="V271" s="75">
        <v>16.22</v>
      </c>
      <c r="W271" s="75">
        <v>16.28</v>
      </c>
      <c r="X271" s="75">
        <v>8.93</v>
      </c>
      <c r="Y271" s="75">
        <v>9.1300000000000008</v>
      </c>
      <c r="Z271" s="105">
        <v>8.98</v>
      </c>
      <c r="AA271" s="104">
        <v>18.07</v>
      </c>
      <c r="AB271" s="75">
        <v>18.100000000000001</v>
      </c>
      <c r="AC271" s="75">
        <v>17.89</v>
      </c>
      <c r="AD271" s="75">
        <v>0.28000000000000003</v>
      </c>
      <c r="AE271" s="75">
        <v>-0.34399999999999997</v>
      </c>
      <c r="AF271" s="105">
        <v>0.16800000000000001</v>
      </c>
    </row>
    <row r="272" spans="2:32" x14ac:dyDescent="0.3">
      <c r="B272" s="111">
        <v>44.499999999999908</v>
      </c>
      <c r="C272" s="104"/>
      <c r="H272" s="105"/>
      <c r="I272" s="104"/>
      <c r="N272" s="105"/>
      <c r="O272" s="104">
        <v>16.059999999999999</v>
      </c>
      <c r="P272" s="75">
        <v>16.2</v>
      </c>
      <c r="Q272" s="75">
        <v>16.09</v>
      </c>
      <c r="R272" s="75">
        <v>5.9930000000000003</v>
      </c>
      <c r="S272" s="75">
        <v>6.0579999999999998</v>
      </c>
      <c r="T272" s="105">
        <v>5.7670000000000003</v>
      </c>
      <c r="U272" s="104">
        <v>16.239999999999998</v>
      </c>
      <c r="V272" s="75">
        <v>16.350000000000001</v>
      </c>
      <c r="W272" s="75">
        <v>16.41</v>
      </c>
      <c r="X272" s="75">
        <v>9.06</v>
      </c>
      <c r="Y272" s="75">
        <v>9.19</v>
      </c>
      <c r="Z272" s="105">
        <v>9.32</v>
      </c>
      <c r="AA272" s="104">
        <v>18.079999999999998</v>
      </c>
      <c r="AB272" s="75">
        <v>18.079999999999998</v>
      </c>
      <c r="AC272" s="75">
        <v>17.91</v>
      </c>
      <c r="AD272" s="75">
        <v>0.25800000000000001</v>
      </c>
      <c r="AE272" s="75">
        <v>0.159</v>
      </c>
      <c r="AF272" s="105">
        <v>0.40899999999999997</v>
      </c>
    </row>
    <row r="273" spans="2:32" x14ac:dyDescent="0.3">
      <c r="B273" s="111">
        <v>44.666666666666572</v>
      </c>
      <c r="C273" s="104"/>
      <c r="H273" s="105"/>
      <c r="I273" s="104"/>
      <c r="N273" s="105"/>
      <c r="O273" s="104">
        <v>16.21</v>
      </c>
      <c r="P273" s="75">
        <v>16.34</v>
      </c>
      <c r="Q273" s="75">
        <v>16.239999999999998</v>
      </c>
      <c r="R273" s="75">
        <v>5.9269999999999996</v>
      </c>
      <c r="S273" s="75">
        <v>6.149</v>
      </c>
      <c r="T273" s="105">
        <v>5.9459999999999997</v>
      </c>
      <c r="U273" s="104">
        <v>16.38</v>
      </c>
      <c r="V273" s="75">
        <v>16.48</v>
      </c>
      <c r="W273" s="75">
        <v>16.54</v>
      </c>
      <c r="X273" s="75">
        <v>9.1</v>
      </c>
      <c r="Y273" s="75">
        <v>9.36</v>
      </c>
      <c r="Z273" s="105">
        <v>9.5500000000000007</v>
      </c>
      <c r="AA273" s="104">
        <v>18.079999999999998</v>
      </c>
      <c r="AB273" s="75">
        <v>18.100000000000001</v>
      </c>
      <c r="AC273" s="75">
        <v>17.91</v>
      </c>
      <c r="AD273" s="75">
        <v>0.40100000000000002</v>
      </c>
      <c r="AE273" s="75">
        <v>-0.29199999999999998</v>
      </c>
      <c r="AF273" s="105">
        <v>0.255</v>
      </c>
    </row>
    <row r="274" spans="2:32" x14ac:dyDescent="0.3">
      <c r="B274" s="111">
        <v>44.833333333333236</v>
      </c>
      <c r="C274" s="104"/>
      <c r="H274" s="105"/>
      <c r="I274" s="104"/>
      <c r="N274" s="105"/>
      <c r="O274" s="104">
        <v>16.36</v>
      </c>
      <c r="P274" s="75">
        <v>16.5</v>
      </c>
      <c r="Q274" s="75">
        <v>16.38</v>
      </c>
      <c r="R274" s="75">
        <v>5.9710000000000001</v>
      </c>
      <c r="S274" s="75">
        <v>6.4740000000000002</v>
      </c>
      <c r="T274" s="105">
        <v>6.0510000000000002</v>
      </c>
      <c r="U274" s="104">
        <v>16.510000000000002</v>
      </c>
      <c r="V274" s="75">
        <v>16.62</v>
      </c>
      <c r="W274" s="75">
        <v>16.68</v>
      </c>
      <c r="X274" s="75">
        <v>9.2100000000000009</v>
      </c>
      <c r="Y274" s="75">
        <v>9.9700000000000006</v>
      </c>
      <c r="Z274" s="105">
        <v>10.1</v>
      </c>
      <c r="AA274" s="104">
        <v>18.079999999999998</v>
      </c>
      <c r="AB274" s="75">
        <v>18.100000000000001</v>
      </c>
      <c r="AC274" s="75">
        <v>17.899999999999999</v>
      </c>
      <c r="AD274" s="75">
        <v>1.1299999999999999</v>
      </c>
      <c r="AE274" s="75">
        <v>0.53600000000000003</v>
      </c>
      <c r="AF274" s="105">
        <v>1.0329999999999999</v>
      </c>
    </row>
    <row r="275" spans="2:32" x14ac:dyDescent="0.3">
      <c r="B275" s="111">
        <v>44.999999999999901</v>
      </c>
      <c r="C275" s="104"/>
      <c r="H275" s="105"/>
      <c r="I275" s="104"/>
      <c r="N275" s="105"/>
      <c r="O275" s="104">
        <v>16.52</v>
      </c>
      <c r="P275" s="75">
        <v>16.649999999999999</v>
      </c>
      <c r="Q275" s="75">
        <v>16.54</v>
      </c>
      <c r="R275" s="75">
        <v>6.31</v>
      </c>
      <c r="S275" s="75">
        <v>6.4139999999999997</v>
      </c>
      <c r="T275" s="105">
        <v>6.3070000000000004</v>
      </c>
      <c r="U275" s="104">
        <v>16.66</v>
      </c>
      <c r="V275" s="75">
        <v>16.75</v>
      </c>
      <c r="W275" s="75">
        <v>16.8</v>
      </c>
      <c r="X275" s="75">
        <v>9.77</v>
      </c>
      <c r="Y275" s="75">
        <v>10.17</v>
      </c>
      <c r="Z275" s="105">
        <v>10.02</v>
      </c>
      <c r="AA275" s="104">
        <v>18.079999999999998</v>
      </c>
      <c r="AB275" s="75">
        <v>18.09</v>
      </c>
      <c r="AC275" s="75">
        <v>17.91</v>
      </c>
      <c r="AD275" s="75">
        <v>1.409</v>
      </c>
      <c r="AE275" s="75">
        <v>0.56000000000000005</v>
      </c>
      <c r="AF275" s="105">
        <v>1.1850000000000001</v>
      </c>
    </row>
    <row r="276" spans="2:32" x14ac:dyDescent="0.3">
      <c r="B276" s="111">
        <v>45.166666666666565</v>
      </c>
      <c r="C276" s="104"/>
      <c r="H276" s="105"/>
      <c r="I276" s="104"/>
      <c r="N276" s="105"/>
      <c r="O276" s="104">
        <v>16.68</v>
      </c>
      <c r="P276" s="75">
        <v>16.8</v>
      </c>
      <c r="Q276" s="75">
        <v>16.670000000000002</v>
      </c>
      <c r="R276" s="75">
        <v>6.1950000000000003</v>
      </c>
      <c r="S276" s="75">
        <v>6.2880000000000003</v>
      </c>
      <c r="T276" s="105">
        <v>6.0039999999999996</v>
      </c>
      <c r="U276" s="104">
        <v>16.79</v>
      </c>
      <c r="V276" s="75">
        <v>16.88</v>
      </c>
      <c r="W276" s="75">
        <v>16.920000000000002</v>
      </c>
      <c r="X276" s="75">
        <v>9.92</v>
      </c>
      <c r="Y276" s="75">
        <v>10.4</v>
      </c>
      <c r="Z276" s="105">
        <v>10.34</v>
      </c>
      <c r="AA276" s="104">
        <v>18.09</v>
      </c>
      <c r="AB276" s="75">
        <v>18.09</v>
      </c>
      <c r="AC276" s="75">
        <v>17.920000000000002</v>
      </c>
      <c r="AD276" s="75">
        <v>0.82299999999999995</v>
      </c>
      <c r="AE276" s="75">
        <v>0.129</v>
      </c>
      <c r="AF276" s="105">
        <v>0.67600000000000005</v>
      </c>
    </row>
    <row r="277" spans="2:32" x14ac:dyDescent="0.3">
      <c r="B277" s="111">
        <v>45.333333333333229</v>
      </c>
      <c r="C277" s="104"/>
      <c r="H277" s="105"/>
      <c r="I277" s="104"/>
      <c r="N277" s="105"/>
      <c r="O277" s="104">
        <v>16.82</v>
      </c>
      <c r="P277" s="75">
        <v>16.940000000000001</v>
      </c>
      <c r="Q277" s="75">
        <v>16.82</v>
      </c>
      <c r="R277" s="75">
        <v>6.13</v>
      </c>
      <c r="S277" s="75">
        <v>6.3550000000000004</v>
      </c>
      <c r="T277" s="105">
        <v>6.0410000000000004</v>
      </c>
      <c r="U277" s="104">
        <v>16.920000000000002</v>
      </c>
      <c r="V277" s="75">
        <v>17</v>
      </c>
      <c r="W277" s="75">
        <v>17.04</v>
      </c>
      <c r="X277" s="75">
        <v>10.19</v>
      </c>
      <c r="Y277" s="75">
        <v>10.78</v>
      </c>
      <c r="Z277" s="105">
        <v>10.72</v>
      </c>
      <c r="AA277" s="104">
        <v>18.09</v>
      </c>
      <c r="AB277" s="75">
        <v>18.100000000000001</v>
      </c>
      <c r="AC277" s="75">
        <v>17.91</v>
      </c>
      <c r="AD277" s="75">
        <v>0.86599999999999999</v>
      </c>
      <c r="AE277" s="75">
        <v>1.2170000000000001</v>
      </c>
      <c r="AF277" s="105">
        <v>1.242</v>
      </c>
    </row>
    <row r="278" spans="2:32" x14ac:dyDescent="0.3">
      <c r="B278" s="111">
        <v>45.499999999999893</v>
      </c>
      <c r="C278" s="104"/>
      <c r="H278" s="105"/>
      <c r="I278" s="104"/>
      <c r="N278" s="105"/>
      <c r="O278" s="104">
        <v>16.96</v>
      </c>
      <c r="P278" s="75">
        <v>17.079999999999998</v>
      </c>
      <c r="Q278" s="75">
        <v>16.95</v>
      </c>
      <c r="R278" s="75">
        <v>6.0759999999999996</v>
      </c>
      <c r="S278" s="75">
        <v>6.3220000000000001</v>
      </c>
      <c r="T278" s="105">
        <v>6.1040000000000001</v>
      </c>
      <c r="U278" s="104">
        <v>17.04</v>
      </c>
      <c r="V278" s="75">
        <v>17.12</v>
      </c>
      <c r="W278" s="75">
        <v>17.149999999999999</v>
      </c>
      <c r="X278" s="75">
        <v>10.46</v>
      </c>
      <c r="Y278" s="75">
        <v>11.19</v>
      </c>
      <c r="Z278" s="105">
        <v>11.18</v>
      </c>
      <c r="AA278" s="104">
        <v>18.09</v>
      </c>
      <c r="AB278" s="75">
        <v>18.09</v>
      </c>
      <c r="AC278" s="75">
        <v>17.89</v>
      </c>
      <c r="AD278" s="75">
        <v>0.751</v>
      </c>
      <c r="AE278" s="75">
        <v>0.46300000000000002</v>
      </c>
      <c r="AF278" s="105">
        <v>0.80700000000000005</v>
      </c>
    </row>
    <row r="279" spans="2:32" x14ac:dyDescent="0.3">
      <c r="B279" s="111">
        <v>45.666666666666558</v>
      </c>
      <c r="C279" s="104"/>
      <c r="H279" s="105"/>
      <c r="I279" s="104"/>
      <c r="N279" s="105"/>
      <c r="O279" s="104">
        <v>17.11</v>
      </c>
      <c r="P279" s="75">
        <v>17.22</v>
      </c>
      <c r="Q279" s="75">
        <v>17.09</v>
      </c>
      <c r="R279" s="75">
        <v>6.2119999999999997</v>
      </c>
      <c r="S279" s="75">
        <v>6.468</v>
      </c>
      <c r="T279" s="105">
        <v>6.1210000000000004</v>
      </c>
      <c r="U279" s="104">
        <v>17.16</v>
      </c>
      <c r="V279" s="75">
        <v>17.239999999999998</v>
      </c>
      <c r="W279" s="75">
        <v>17.27</v>
      </c>
      <c r="X279" s="75">
        <v>11.01</v>
      </c>
      <c r="Y279" s="75">
        <v>11.83</v>
      </c>
      <c r="Z279" s="105">
        <v>11.84</v>
      </c>
      <c r="AA279" s="104">
        <v>18.079999999999998</v>
      </c>
      <c r="AB279" s="75">
        <v>18.07</v>
      </c>
      <c r="AC279" s="75">
        <v>17.86</v>
      </c>
      <c r="AD279" s="75">
        <v>0.22800000000000001</v>
      </c>
      <c r="AE279" s="75">
        <v>0.33100000000000002</v>
      </c>
      <c r="AF279" s="105">
        <v>0.48</v>
      </c>
    </row>
    <row r="280" spans="2:32" x14ac:dyDescent="0.3">
      <c r="B280" s="111">
        <v>45.833333333333222</v>
      </c>
      <c r="C280" s="104"/>
      <c r="H280" s="105"/>
      <c r="I280" s="104"/>
      <c r="N280" s="105"/>
      <c r="O280" s="104">
        <v>17.25</v>
      </c>
      <c r="P280" s="75">
        <v>17.37</v>
      </c>
      <c r="Q280" s="75">
        <v>17.239999999999998</v>
      </c>
      <c r="R280" s="75">
        <v>5.9809999999999999</v>
      </c>
      <c r="S280" s="75">
        <v>6.5910000000000002</v>
      </c>
      <c r="T280" s="105">
        <v>6.282</v>
      </c>
      <c r="U280" s="104">
        <v>17.27</v>
      </c>
      <c r="V280" s="75">
        <v>17.350000000000001</v>
      </c>
      <c r="W280" s="75">
        <v>17.39</v>
      </c>
      <c r="X280" s="75">
        <v>11.24</v>
      </c>
      <c r="Y280" s="75">
        <v>12.52</v>
      </c>
      <c r="Z280" s="105">
        <v>12.38</v>
      </c>
      <c r="AA280" s="104">
        <v>18.100000000000001</v>
      </c>
      <c r="AB280" s="75">
        <v>18.059999999999999</v>
      </c>
      <c r="AC280" s="75">
        <v>17.86</v>
      </c>
      <c r="AD280" s="75">
        <v>1.5549999999999999</v>
      </c>
      <c r="AE280" s="75">
        <v>1.0369999999999999</v>
      </c>
      <c r="AF280" s="105">
        <v>1.496</v>
      </c>
    </row>
    <row r="281" spans="2:32" x14ac:dyDescent="0.3">
      <c r="B281" s="111">
        <v>45.999999999999886</v>
      </c>
      <c r="C281" s="104"/>
      <c r="H281" s="105"/>
      <c r="I281" s="104"/>
      <c r="N281" s="105"/>
      <c r="O281" s="104">
        <v>17.39</v>
      </c>
      <c r="P281" s="75">
        <v>17.510000000000002</v>
      </c>
      <c r="Q281" s="75">
        <v>17.39</v>
      </c>
      <c r="R281" s="75">
        <v>6.0730000000000004</v>
      </c>
      <c r="S281" s="75">
        <v>6.3109999999999999</v>
      </c>
      <c r="T281" s="105">
        <v>6.2510000000000003</v>
      </c>
      <c r="U281" s="104">
        <v>17.38</v>
      </c>
      <c r="V281" s="75">
        <v>17.46</v>
      </c>
      <c r="W281" s="75">
        <v>17.489999999999998</v>
      </c>
      <c r="X281" s="75">
        <v>11.93</v>
      </c>
      <c r="Y281" s="75">
        <v>12.9</v>
      </c>
      <c r="Z281" s="105">
        <v>13.44</v>
      </c>
      <c r="AA281" s="104">
        <v>18.100000000000001</v>
      </c>
      <c r="AB281" s="75">
        <v>18.100000000000001</v>
      </c>
      <c r="AC281" s="75">
        <v>17.86</v>
      </c>
      <c r="AD281" s="75">
        <v>1.82</v>
      </c>
      <c r="AE281" s="75">
        <v>1.681</v>
      </c>
      <c r="AF281" s="105">
        <v>1.9510000000000001</v>
      </c>
    </row>
    <row r="282" spans="2:32" x14ac:dyDescent="0.3">
      <c r="B282" s="111">
        <v>46.166666666666551</v>
      </c>
      <c r="C282" s="104"/>
      <c r="H282" s="105"/>
      <c r="I282" s="104"/>
      <c r="N282" s="105"/>
      <c r="O282" s="104">
        <v>17.52</v>
      </c>
      <c r="P282" s="75">
        <v>17.66</v>
      </c>
      <c r="Q282" s="75">
        <v>17.53</v>
      </c>
      <c r="R282" s="75">
        <v>5.8760000000000003</v>
      </c>
      <c r="S282" s="75">
        <v>6.734</v>
      </c>
      <c r="T282" s="105">
        <v>6.6</v>
      </c>
      <c r="U282" s="104">
        <v>17.48</v>
      </c>
      <c r="V282" s="75">
        <v>17.57</v>
      </c>
      <c r="W282" s="75">
        <v>17.61</v>
      </c>
      <c r="X282" s="75">
        <v>12.43</v>
      </c>
      <c r="Y282" s="75">
        <v>14.07</v>
      </c>
      <c r="Z282" s="105">
        <v>14.83</v>
      </c>
      <c r="AA282" s="104"/>
      <c r="AF282" s="105"/>
    </row>
    <row r="283" spans="2:32" x14ac:dyDescent="0.3">
      <c r="B283" s="111">
        <v>46.333333333333215</v>
      </c>
      <c r="C283" s="104"/>
      <c r="H283" s="105"/>
      <c r="I283" s="104"/>
      <c r="N283" s="105"/>
      <c r="O283" s="104">
        <v>17.68</v>
      </c>
      <c r="P283" s="75">
        <v>17.809999999999999</v>
      </c>
      <c r="Q283" s="75">
        <v>17.7</v>
      </c>
      <c r="R283" s="75">
        <v>6.5309999999999997</v>
      </c>
      <c r="S283" s="75">
        <v>6.7149999999999999</v>
      </c>
      <c r="T283" s="105">
        <v>7.0970000000000004</v>
      </c>
      <c r="U283" s="104">
        <v>17.600000000000001</v>
      </c>
      <c r="V283" s="75">
        <v>17.670000000000002</v>
      </c>
      <c r="W283" s="75">
        <v>17.71</v>
      </c>
      <c r="X283" s="75">
        <v>13.76</v>
      </c>
      <c r="Y283" s="75">
        <v>14.93</v>
      </c>
      <c r="Z283" s="105">
        <v>15.73</v>
      </c>
      <c r="AA283" s="104"/>
      <c r="AF283" s="105"/>
    </row>
    <row r="284" spans="2:32" x14ac:dyDescent="0.3">
      <c r="B284" s="111">
        <v>46.499999999999879</v>
      </c>
      <c r="C284" s="104"/>
      <c r="H284" s="105"/>
      <c r="I284" s="104"/>
      <c r="N284" s="105"/>
      <c r="O284" s="104">
        <v>17.829999999999998</v>
      </c>
      <c r="P284" s="75">
        <v>17.95</v>
      </c>
      <c r="Q284" s="75">
        <v>17.850000000000001</v>
      </c>
      <c r="R284" s="75">
        <v>6.7450000000000001</v>
      </c>
      <c r="S284" s="75">
        <v>6.7430000000000003</v>
      </c>
      <c r="T284" s="105">
        <v>7.0259999999999998</v>
      </c>
      <c r="U284" s="104">
        <v>17.7</v>
      </c>
      <c r="V284" s="75">
        <v>17.760000000000002</v>
      </c>
      <c r="W284" s="75">
        <v>17.8</v>
      </c>
      <c r="X284" s="75">
        <v>14.82</v>
      </c>
      <c r="Y284" s="75">
        <v>15.89</v>
      </c>
      <c r="Z284" s="105">
        <v>16.38</v>
      </c>
      <c r="AA284" s="104"/>
      <c r="AF284" s="105"/>
    </row>
    <row r="285" spans="2:32" x14ac:dyDescent="0.3">
      <c r="B285" s="111">
        <v>46.666666666666544</v>
      </c>
      <c r="C285" s="104"/>
      <c r="H285" s="105"/>
      <c r="I285" s="104"/>
      <c r="N285" s="105"/>
      <c r="O285" s="104">
        <v>17.98</v>
      </c>
      <c r="P285" s="75">
        <v>18.100000000000001</v>
      </c>
      <c r="Q285" s="75">
        <v>17.98</v>
      </c>
      <c r="R285" s="75">
        <v>6.5019999999999998</v>
      </c>
      <c r="S285" s="75">
        <v>6.992</v>
      </c>
      <c r="T285" s="105">
        <v>6.7729999999999997</v>
      </c>
      <c r="U285" s="104">
        <v>17.8</v>
      </c>
      <c r="V285" s="75">
        <v>17.86</v>
      </c>
      <c r="W285" s="75">
        <v>17.89</v>
      </c>
      <c r="X285" s="75">
        <v>15.53</v>
      </c>
      <c r="Y285" s="75">
        <v>17.190000000000001</v>
      </c>
      <c r="Z285" s="105">
        <v>17.62</v>
      </c>
      <c r="AA285" s="104"/>
      <c r="AF285" s="105"/>
    </row>
    <row r="286" spans="2:32" x14ac:dyDescent="0.3">
      <c r="B286" s="111">
        <v>46.833333333333208</v>
      </c>
      <c r="C286" s="104"/>
      <c r="H286" s="105"/>
      <c r="I286" s="104"/>
      <c r="N286" s="105"/>
      <c r="O286" s="104">
        <v>18.13</v>
      </c>
      <c r="P286" s="75">
        <v>18.239999999999998</v>
      </c>
      <c r="Q286" s="75">
        <v>18.14</v>
      </c>
      <c r="R286" s="75">
        <v>6.6959999999999997</v>
      </c>
      <c r="S286" s="75">
        <v>7.0090000000000003</v>
      </c>
      <c r="T286" s="105">
        <v>6.9640000000000004</v>
      </c>
      <c r="U286" s="104">
        <v>17.89</v>
      </c>
      <c r="V286" s="75">
        <v>17.940000000000001</v>
      </c>
      <c r="W286" s="75">
        <v>17.97</v>
      </c>
      <c r="X286" s="75">
        <v>16.89</v>
      </c>
      <c r="Y286" s="75">
        <v>18.28</v>
      </c>
      <c r="Z286" s="105">
        <v>18.62</v>
      </c>
      <c r="AA286" s="104"/>
      <c r="AF286" s="105"/>
    </row>
    <row r="287" spans="2:32" x14ac:dyDescent="0.3">
      <c r="B287" s="111">
        <v>46.999999999999872</v>
      </c>
      <c r="C287" s="104"/>
      <c r="H287" s="105"/>
      <c r="I287" s="104"/>
      <c r="N287" s="105"/>
      <c r="O287" s="104">
        <v>18.27</v>
      </c>
      <c r="P287" s="75">
        <v>18.37</v>
      </c>
      <c r="Q287" s="75">
        <v>18.28</v>
      </c>
      <c r="R287" s="75">
        <v>6.4450000000000003</v>
      </c>
      <c r="S287" s="75">
        <v>6.8159999999999998</v>
      </c>
      <c r="T287" s="105">
        <v>6.75</v>
      </c>
      <c r="U287" s="104">
        <v>17.97</v>
      </c>
      <c r="V287" s="75">
        <v>18.010000000000002</v>
      </c>
      <c r="W287" s="75">
        <v>18.05</v>
      </c>
      <c r="X287" s="75">
        <v>17.600000000000001</v>
      </c>
      <c r="Y287" s="75">
        <v>19.18</v>
      </c>
      <c r="Z287" s="105">
        <v>19.96</v>
      </c>
      <c r="AA287" s="104"/>
      <c r="AF287" s="105"/>
    </row>
    <row r="288" spans="2:32" x14ac:dyDescent="0.3">
      <c r="B288" s="111">
        <v>47.166666666666536</v>
      </c>
      <c r="C288" s="104"/>
      <c r="H288" s="105"/>
      <c r="I288" s="104"/>
      <c r="N288" s="105"/>
      <c r="O288" s="104">
        <v>18.41</v>
      </c>
      <c r="P288" s="75">
        <v>18.510000000000002</v>
      </c>
      <c r="Q288" s="75">
        <v>18.420000000000002</v>
      </c>
      <c r="R288" s="75">
        <v>6.6559999999999997</v>
      </c>
      <c r="S288" s="75">
        <v>7.0529999999999999</v>
      </c>
      <c r="T288" s="105">
        <v>6.9189999999999996</v>
      </c>
      <c r="U288" s="104">
        <v>18.05</v>
      </c>
      <c r="V288" s="75">
        <v>18.09</v>
      </c>
      <c r="W288" s="75">
        <v>18.12</v>
      </c>
      <c r="X288" s="75">
        <v>18.93</v>
      </c>
      <c r="Y288" s="75">
        <v>20.59</v>
      </c>
      <c r="Z288" s="105">
        <v>21.13</v>
      </c>
      <c r="AA288" s="104"/>
      <c r="AF288" s="105"/>
    </row>
    <row r="289" spans="2:32" x14ac:dyDescent="0.3">
      <c r="B289" s="111">
        <v>47.333333333333201</v>
      </c>
      <c r="C289" s="104"/>
      <c r="H289" s="105"/>
      <c r="I289" s="104"/>
      <c r="N289" s="105"/>
      <c r="O289" s="104">
        <v>18.55</v>
      </c>
      <c r="P289" s="75">
        <v>18.66</v>
      </c>
      <c r="Q289" s="75">
        <v>18.559999999999999</v>
      </c>
      <c r="R289" s="75">
        <v>6.4589999999999996</v>
      </c>
      <c r="S289" s="75">
        <v>7.5679999999999996</v>
      </c>
      <c r="T289" s="105">
        <v>6.9560000000000004</v>
      </c>
      <c r="U289" s="104">
        <v>18.12</v>
      </c>
      <c r="V289" s="75">
        <v>18.16</v>
      </c>
      <c r="W289" s="75">
        <v>18.190000000000001</v>
      </c>
      <c r="X289" s="75">
        <v>20.03</v>
      </c>
      <c r="Y289" s="75">
        <v>22.44</v>
      </c>
      <c r="Z289" s="105">
        <v>22.6</v>
      </c>
      <c r="AA289" s="104"/>
      <c r="AF289" s="105"/>
    </row>
    <row r="290" spans="2:32" x14ac:dyDescent="0.3">
      <c r="B290" s="111">
        <v>47.499999999999865</v>
      </c>
      <c r="C290" s="104"/>
      <c r="H290" s="105"/>
      <c r="I290" s="104"/>
      <c r="N290" s="105"/>
      <c r="O290" s="104">
        <v>18.7</v>
      </c>
      <c r="P290" s="75">
        <v>18.809999999999999</v>
      </c>
      <c r="Q290" s="75">
        <v>18.690000000000001</v>
      </c>
      <c r="R290" s="75">
        <v>6.6630000000000003</v>
      </c>
      <c r="S290" s="75">
        <v>7.4649999999999999</v>
      </c>
      <c r="T290" s="105">
        <v>7.048</v>
      </c>
      <c r="U290" s="104">
        <v>18.190000000000001</v>
      </c>
      <c r="V290" s="75">
        <v>18.23</v>
      </c>
      <c r="W290" s="75">
        <v>18.25</v>
      </c>
      <c r="X290" s="75">
        <v>21.63</v>
      </c>
      <c r="Y290" s="75">
        <v>23.92</v>
      </c>
      <c r="Z290" s="105">
        <v>23.95</v>
      </c>
      <c r="AA290" s="104"/>
      <c r="AF290" s="105"/>
    </row>
    <row r="291" spans="2:32" x14ac:dyDescent="0.3">
      <c r="B291" s="111">
        <v>47.666666666666529</v>
      </c>
      <c r="C291" s="104"/>
      <c r="H291" s="105"/>
      <c r="I291" s="104"/>
      <c r="N291" s="105"/>
      <c r="O291" s="104">
        <v>18.850000000000001</v>
      </c>
      <c r="P291" s="75">
        <v>18.97</v>
      </c>
      <c r="Q291" s="75">
        <v>18.829999999999998</v>
      </c>
      <c r="R291" s="75">
        <v>6.827</v>
      </c>
      <c r="S291" s="75">
        <v>7.6139999999999999</v>
      </c>
      <c r="T291" s="105">
        <v>7.1</v>
      </c>
      <c r="U291" s="104">
        <v>18.27</v>
      </c>
      <c r="V291" s="75">
        <v>18.3</v>
      </c>
      <c r="W291" s="75">
        <v>18.309999999999999</v>
      </c>
      <c r="X291" s="75">
        <v>23.22</v>
      </c>
      <c r="Y291" s="75">
        <v>25.486999999999998</v>
      </c>
      <c r="Z291" s="105">
        <v>25.55</v>
      </c>
      <c r="AA291" s="104"/>
      <c r="AF291" s="105"/>
    </row>
    <row r="292" spans="2:32" x14ac:dyDescent="0.3">
      <c r="B292" s="111">
        <v>47.833333333333194</v>
      </c>
      <c r="C292" s="104"/>
      <c r="H292" s="105"/>
      <c r="I292" s="104"/>
      <c r="N292" s="105"/>
      <c r="O292" s="104">
        <v>19</v>
      </c>
      <c r="P292" s="75">
        <v>19.100000000000001</v>
      </c>
      <c r="Q292" s="75">
        <v>18.97</v>
      </c>
      <c r="R292" s="75">
        <v>6.6950000000000003</v>
      </c>
      <c r="S292" s="75">
        <v>7.3029999999999999</v>
      </c>
      <c r="T292" s="105">
        <v>7.1150000000000002</v>
      </c>
      <c r="U292" s="104">
        <v>18.329999999999998</v>
      </c>
      <c r="V292" s="75">
        <v>18.36</v>
      </c>
      <c r="W292" s="75">
        <v>18.38</v>
      </c>
      <c r="X292" s="75">
        <v>24.672999999999998</v>
      </c>
      <c r="Y292" s="75">
        <v>27.053000000000001</v>
      </c>
      <c r="Z292" s="105">
        <v>27.15</v>
      </c>
      <c r="AA292" s="104"/>
      <c r="AF292" s="105"/>
    </row>
    <row r="293" spans="2:32" x14ac:dyDescent="0.3">
      <c r="B293" s="111">
        <v>47.999999999999858</v>
      </c>
      <c r="C293" s="104"/>
      <c r="H293" s="105"/>
      <c r="I293" s="104"/>
      <c r="N293" s="105"/>
      <c r="O293" s="104">
        <v>19.149999999999999</v>
      </c>
      <c r="P293" s="75">
        <v>19.23</v>
      </c>
      <c r="Q293" s="75">
        <v>19.11</v>
      </c>
      <c r="R293" s="75">
        <v>6.6210000000000004</v>
      </c>
      <c r="S293" s="75">
        <v>7.58</v>
      </c>
      <c r="T293" s="105">
        <v>7.2060000000000004</v>
      </c>
      <c r="U293" s="104">
        <v>18.399999999999999</v>
      </c>
      <c r="V293" s="75">
        <v>18.420000000000002</v>
      </c>
      <c r="W293" s="75">
        <v>18.440000000000001</v>
      </c>
      <c r="X293" s="75">
        <v>26.125</v>
      </c>
      <c r="Y293" s="75">
        <v>28.373999999999999</v>
      </c>
      <c r="Z293" s="105">
        <v>28.841999999999999</v>
      </c>
      <c r="AA293" s="104"/>
      <c r="AF293" s="105"/>
    </row>
    <row r="294" spans="2:32" x14ac:dyDescent="0.3">
      <c r="B294" s="111">
        <v>48.166666666666522</v>
      </c>
      <c r="C294" s="104"/>
      <c r="H294" s="105"/>
      <c r="I294" s="104"/>
      <c r="N294" s="105"/>
      <c r="O294" s="104">
        <v>19.29</v>
      </c>
      <c r="P294" s="75">
        <v>19.37</v>
      </c>
      <c r="Q294" s="75">
        <v>19.256</v>
      </c>
      <c r="R294" s="75">
        <v>6.5469999999999997</v>
      </c>
      <c r="S294" s="75">
        <v>7.5839999999999996</v>
      </c>
      <c r="T294" s="105">
        <v>7.3369999999999997</v>
      </c>
      <c r="U294" s="104">
        <v>18.46</v>
      </c>
      <c r="V294" s="75">
        <v>18.47</v>
      </c>
      <c r="W294" s="75">
        <v>18.5</v>
      </c>
      <c r="X294" s="75">
        <v>27.62</v>
      </c>
      <c r="Y294" s="75">
        <v>30.21</v>
      </c>
      <c r="Z294" s="105">
        <v>30.43</v>
      </c>
      <c r="AA294" s="104"/>
      <c r="AF294" s="105"/>
    </row>
    <row r="295" spans="2:32" x14ac:dyDescent="0.3">
      <c r="B295" s="111">
        <v>48.333333333333186</v>
      </c>
      <c r="C295" s="104"/>
      <c r="H295" s="105"/>
      <c r="I295" s="104"/>
      <c r="N295" s="105"/>
      <c r="O295" s="104">
        <v>19.43</v>
      </c>
      <c r="P295" s="75">
        <v>19.5</v>
      </c>
      <c r="Q295" s="75">
        <v>19.402000000000001</v>
      </c>
      <c r="R295" s="75">
        <v>6.6210000000000004</v>
      </c>
      <c r="S295" s="75">
        <v>7.58</v>
      </c>
      <c r="T295" s="105">
        <v>7.3940000000000001</v>
      </c>
      <c r="U295" s="104">
        <v>18.52</v>
      </c>
      <c r="V295" s="75">
        <v>18.53</v>
      </c>
      <c r="W295" s="75">
        <v>18.55</v>
      </c>
      <c r="X295" s="75">
        <v>29.03</v>
      </c>
      <c r="Y295" s="75">
        <v>32.01</v>
      </c>
      <c r="Z295" s="105">
        <v>32.49</v>
      </c>
      <c r="AA295" s="104"/>
      <c r="AF295" s="105"/>
    </row>
    <row r="296" spans="2:32" x14ac:dyDescent="0.3">
      <c r="B296" s="111">
        <v>48.499999999999851</v>
      </c>
      <c r="C296" s="104"/>
      <c r="H296" s="105"/>
      <c r="I296" s="104"/>
      <c r="N296" s="105"/>
      <c r="O296" s="104">
        <v>19.559999999999999</v>
      </c>
      <c r="P296" s="75">
        <v>19.649999999999999</v>
      </c>
      <c r="Q296" s="75">
        <v>19.548999999999999</v>
      </c>
      <c r="R296" s="75">
        <v>6.5469999999999997</v>
      </c>
      <c r="S296" s="75">
        <v>7.5839999999999996</v>
      </c>
      <c r="T296" s="105">
        <v>7.3369999999999997</v>
      </c>
      <c r="U296" s="104">
        <v>18.57</v>
      </c>
      <c r="V296" s="75">
        <v>18.579999999999998</v>
      </c>
      <c r="W296" s="75">
        <v>18.61</v>
      </c>
      <c r="X296" s="75">
        <v>30.62</v>
      </c>
      <c r="Y296" s="75">
        <v>33.840000000000003</v>
      </c>
      <c r="Z296" s="105">
        <v>34.380000000000003</v>
      </c>
      <c r="AA296" s="104"/>
      <c r="AF296" s="105"/>
    </row>
    <row r="297" spans="2:32" x14ac:dyDescent="0.3">
      <c r="B297" s="111">
        <v>48.666666666666515</v>
      </c>
      <c r="C297" s="104"/>
      <c r="H297" s="105"/>
      <c r="I297" s="104"/>
      <c r="N297" s="105"/>
      <c r="O297" s="104">
        <v>19.71</v>
      </c>
      <c r="P297" s="75">
        <v>19.809999999999999</v>
      </c>
      <c r="Q297" s="75">
        <v>19.693000000000001</v>
      </c>
      <c r="R297" s="75">
        <v>6.5590000000000002</v>
      </c>
      <c r="S297" s="75">
        <v>7.673</v>
      </c>
      <c r="T297" s="105">
        <v>7.3940000000000001</v>
      </c>
      <c r="U297" s="104">
        <v>18.63</v>
      </c>
      <c r="V297" s="75">
        <v>18.649999999999999</v>
      </c>
      <c r="W297" s="75">
        <v>18.670000000000002</v>
      </c>
      <c r="X297" s="75">
        <v>32.67</v>
      </c>
      <c r="Y297" s="75">
        <v>35.94</v>
      </c>
      <c r="Z297" s="105">
        <v>36.04</v>
      </c>
      <c r="AA297" s="104"/>
      <c r="AF297" s="105"/>
    </row>
    <row r="298" spans="2:32" x14ac:dyDescent="0.3">
      <c r="B298" s="111">
        <v>48.833333333333179</v>
      </c>
      <c r="C298" s="104"/>
      <c r="H298" s="105"/>
      <c r="I298" s="104"/>
      <c r="N298" s="105"/>
      <c r="O298" s="104">
        <v>19.859000000000002</v>
      </c>
      <c r="P298" s="75">
        <v>19.95</v>
      </c>
      <c r="Q298" s="75">
        <v>19.838999999999999</v>
      </c>
      <c r="R298" s="75">
        <v>6.6470000000000002</v>
      </c>
      <c r="S298" s="75">
        <v>7.9960000000000004</v>
      </c>
      <c r="T298" s="105">
        <v>7.6230000000000002</v>
      </c>
      <c r="U298" s="104">
        <v>18.71</v>
      </c>
      <c r="V298" s="75">
        <v>18.72</v>
      </c>
      <c r="W298" s="75">
        <v>18.739999999999998</v>
      </c>
      <c r="X298" s="75">
        <v>35.04</v>
      </c>
      <c r="Y298" s="75">
        <v>37.590000000000003</v>
      </c>
      <c r="Z298" s="105">
        <v>37.79</v>
      </c>
      <c r="AA298" s="104"/>
      <c r="AF298" s="105"/>
    </row>
    <row r="299" spans="2:32" x14ac:dyDescent="0.3">
      <c r="B299" s="111">
        <v>48.999999999999844</v>
      </c>
      <c r="C299" s="104"/>
      <c r="H299" s="105"/>
      <c r="I299" s="104"/>
      <c r="N299" s="105"/>
      <c r="O299" s="104">
        <v>20.007000000000001</v>
      </c>
      <c r="P299" s="75">
        <v>20.11</v>
      </c>
      <c r="Q299" s="75">
        <v>19.981000000000002</v>
      </c>
      <c r="R299" s="75">
        <v>6.7350000000000003</v>
      </c>
      <c r="S299" s="75">
        <v>8.39</v>
      </c>
      <c r="T299" s="105">
        <v>7.9509999999999996</v>
      </c>
      <c r="U299" s="104">
        <v>18.78</v>
      </c>
      <c r="V299" s="75">
        <v>18.8</v>
      </c>
      <c r="W299" s="75">
        <v>18.82</v>
      </c>
      <c r="X299" s="75">
        <v>36.42</v>
      </c>
      <c r="Y299" s="75">
        <v>38.69</v>
      </c>
      <c r="Z299" s="105">
        <v>39.17</v>
      </c>
      <c r="AA299" s="104"/>
      <c r="AF299" s="105"/>
    </row>
    <row r="300" spans="2:32" x14ac:dyDescent="0.3">
      <c r="B300" s="111">
        <v>49.166666666666508</v>
      </c>
      <c r="C300" s="104"/>
      <c r="H300" s="105"/>
      <c r="I300" s="104"/>
      <c r="N300" s="105"/>
      <c r="O300" s="104">
        <v>20.202999999999999</v>
      </c>
      <c r="P300" s="75">
        <v>20.27</v>
      </c>
      <c r="Q300" s="75">
        <v>20.13</v>
      </c>
      <c r="R300" s="75">
        <v>7.3860000000000001</v>
      </c>
      <c r="S300" s="75">
        <v>8.23</v>
      </c>
      <c r="T300" s="105">
        <v>7.9829999999999997</v>
      </c>
      <c r="U300" s="104">
        <v>18.850000000000001</v>
      </c>
      <c r="V300" s="75">
        <v>18.89</v>
      </c>
      <c r="W300" s="75">
        <v>18.899999999999999</v>
      </c>
      <c r="X300" s="75">
        <v>37.630000000000003</v>
      </c>
      <c r="Y300" s="75">
        <v>40.06</v>
      </c>
      <c r="Z300" s="105">
        <v>40.35</v>
      </c>
      <c r="AA300" s="104"/>
      <c r="AF300" s="105"/>
    </row>
    <row r="301" spans="2:32" x14ac:dyDescent="0.3">
      <c r="B301" s="111">
        <v>49.333333333333172</v>
      </c>
      <c r="C301" s="104"/>
      <c r="H301" s="105"/>
      <c r="I301" s="104"/>
      <c r="N301" s="105"/>
      <c r="O301" s="104">
        <v>20.303999999999998</v>
      </c>
      <c r="P301" s="75">
        <v>20.420000000000002</v>
      </c>
      <c r="Q301" s="75">
        <v>20.276</v>
      </c>
      <c r="R301" s="75">
        <v>6.91</v>
      </c>
      <c r="S301" s="75">
        <v>7.9269999999999996</v>
      </c>
      <c r="T301" s="105">
        <v>8.06</v>
      </c>
      <c r="U301" s="104">
        <v>18.95</v>
      </c>
      <c r="V301" s="75">
        <v>18.97</v>
      </c>
      <c r="W301" s="75">
        <v>19</v>
      </c>
      <c r="X301" s="75">
        <v>39.119999999999997</v>
      </c>
      <c r="Y301" s="75">
        <v>41.56</v>
      </c>
      <c r="Z301" s="105">
        <v>41.48</v>
      </c>
      <c r="AA301" s="104"/>
      <c r="AF301" s="105"/>
    </row>
    <row r="302" spans="2:32" x14ac:dyDescent="0.3">
      <c r="B302" s="111">
        <v>49.499999999999837</v>
      </c>
      <c r="C302" s="104"/>
      <c r="H302" s="105"/>
      <c r="I302" s="104"/>
      <c r="N302" s="105"/>
      <c r="O302" s="104">
        <v>20.452999999999999</v>
      </c>
      <c r="P302" s="75">
        <v>20.56</v>
      </c>
      <c r="Q302" s="75">
        <v>20.416</v>
      </c>
      <c r="R302" s="75">
        <v>6.9980000000000002</v>
      </c>
      <c r="S302" s="75">
        <v>7.9119999999999999</v>
      </c>
      <c r="T302" s="105">
        <v>7.8230000000000004</v>
      </c>
      <c r="U302" s="104">
        <v>19.05</v>
      </c>
      <c r="V302" s="75">
        <v>19.059999999999999</v>
      </c>
      <c r="W302" s="75">
        <v>19.100000000000001</v>
      </c>
      <c r="X302" s="75">
        <v>40.97</v>
      </c>
      <c r="Y302" s="75">
        <v>42.91</v>
      </c>
      <c r="Z302" s="105">
        <v>42.73</v>
      </c>
      <c r="AA302" s="104"/>
      <c r="AF302" s="105"/>
    </row>
    <row r="303" spans="2:32" x14ac:dyDescent="0.3">
      <c r="B303" s="111">
        <v>49.666666666666501</v>
      </c>
      <c r="C303" s="104"/>
      <c r="H303" s="105"/>
      <c r="I303" s="104"/>
      <c r="N303" s="105"/>
      <c r="O303" s="104">
        <v>20.687999999999999</v>
      </c>
      <c r="P303" s="75">
        <v>20.7</v>
      </c>
      <c r="Q303" s="75">
        <v>20.568000000000001</v>
      </c>
      <c r="R303" s="75">
        <v>7.2460000000000004</v>
      </c>
      <c r="S303" s="75">
        <v>8.14</v>
      </c>
      <c r="T303" s="105">
        <v>7.7830000000000004</v>
      </c>
      <c r="U303" s="104">
        <v>19.14</v>
      </c>
      <c r="V303" s="75">
        <v>19.16</v>
      </c>
      <c r="W303" s="75">
        <v>19.2</v>
      </c>
      <c r="X303" s="75">
        <v>41.76</v>
      </c>
      <c r="Y303" s="75">
        <v>44.22</v>
      </c>
      <c r="Z303" s="105">
        <v>43.79</v>
      </c>
      <c r="AA303" s="104"/>
      <c r="AF303" s="105"/>
    </row>
    <row r="304" spans="2:32" x14ac:dyDescent="0.3">
      <c r="B304" s="111">
        <v>49.833333333333165</v>
      </c>
      <c r="C304" s="104"/>
      <c r="H304" s="105"/>
      <c r="I304" s="104"/>
      <c r="N304" s="105"/>
      <c r="O304" s="104">
        <v>20.75</v>
      </c>
      <c r="P304" s="75">
        <v>20.83</v>
      </c>
      <c r="Q304" s="75">
        <v>20.713000000000001</v>
      </c>
      <c r="R304" s="75">
        <v>7.1740000000000004</v>
      </c>
      <c r="S304" s="75">
        <v>7.9240000000000004</v>
      </c>
      <c r="T304" s="105">
        <v>7.7990000000000004</v>
      </c>
      <c r="U304" s="104">
        <v>19.23</v>
      </c>
      <c r="V304" s="75">
        <v>19.27</v>
      </c>
      <c r="W304" s="75">
        <v>19.32</v>
      </c>
      <c r="X304" s="75">
        <v>42.77</v>
      </c>
      <c r="Y304" s="75">
        <v>45.67</v>
      </c>
      <c r="Z304" s="105">
        <v>44.25</v>
      </c>
      <c r="AA304" s="104"/>
      <c r="AF304" s="105"/>
    </row>
    <row r="305" spans="2:32" x14ac:dyDescent="0.3">
      <c r="B305" s="111">
        <v>49.999999999999829</v>
      </c>
      <c r="C305" s="104"/>
      <c r="H305" s="105"/>
      <c r="I305" s="104"/>
      <c r="N305" s="105"/>
      <c r="O305" s="104">
        <v>20.899000000000001</v>
      </c>
      <c r="P305" s="75">
        <v>20.99</v>
      </c>
      <c r="Q305" s="75">
        <v>20.863</v>
      </c>
      <c r="R305" s="75">
        <v>7.2619999999999996</v>
      </c>
      <c r="S305" s="75">
        <v>7.7889999999999997</v>
      </c>
      <c r="T305" s="105">
        <v>7.7489999999999997</v>
      </c>
      <c r="U305" s="104">
        <v>19.399999999999999</v>
      </c>
      <c r="V305" s="75">
        <v>19.420000000000002</v>
      </c>
      <c r="W305" s="75">
        <v>19.47</v>
      </c>
      <c r="X305" s="75">
        <v>45.18</v>
      </c>
      <c r="Y305" s="75">
        <v>46.51</v>
      </c>
      <c r="Z305" s="105">
        <v>45.35</v>
      </c>
      <c r="AA305" s="104"/>
      <c r="AF305" s="105"/>
    </row>
    <row r="306" spans="2:32" x14ac:dyDescent="0.3">
      <c r="B306" s="111">
        <v>50.166666666666494</v>
      </c>
      <c r="C306" s="104"/>
      <c r="H306" s="105"/>
      <c r="I306" s="104"/>
      <c r="N306" s="105"/>
      <c r="O306" s="104">
        <v>21.08</v>
      </c>
      <c r="P306" s="75">
        <v>21.13</v>
      </c>
      <c r="Q306" s="75">
        <v>21.004999999999999</v>
      </c>
      <c r="R306" s="75">
        <v>7.194</v>
      </c>
      <c r="S306" s="75">
        <v>8.23</v>
      </c>
      <c r="T306" s="105">
        <v>8.0299999999999994</v>
      </c>
      <c r="U306" s="104">
        <v>19.59</v>
      </c>
      <c r="V306" s="75">
        <v>19.61</v>
      </c>
      <c r="W306" s="75">
        <v>19.68</v>
      </c>
      <c r="X306" s="75">
        <v>45.29</v>
      </c>
      <c r="Y306" s="75">
        <v>45.83</v>
      </c>
      <c r="Z306" s="105">
        <v>45.15</v>
      </c>
      <c r="AA306" s="104"/>
      <c r="AF306" s="105"/>
    </row>
    <row r="307" spans="2:32" x14ac:dyDescent="0.3">
      <c r="B307" s="111">
        <v>50.333333333333158</v>
      </c>
      <c r="C307" s="104"/>
      <c r="H307" s="105"/>
      <c r="I307" s="104"/>
      <c r="N307" s="105"/>
      <c r="O307" s="104">
        <v>21.196000000000002</v>
      </c>
      <c r="P307" s="75">
        <v>21.28</v>
      </c>
      <c r="Q307" s="75">
        <v>21.151</v>
      </c>
      <c r="R307" s="75">
        <v>7.4379999999999997</v>
      </c>
      <c r="S307" s="75">
        <v>8.69</v>
      </c>
      <c r="T307" s="105">
        <v>7.9189999999999996</v>
      </c>
      <c r="U307" s="104">
        <v>19.809999999999999</v>
      </c>
      <c r="V307" s="75">
        <v>19.87</v>
      </c>
      <c r="W307" s="75">
        <v>19.940000000000001</v>
      </c>
      <c r="X307" s="75">
        <v>44.45</v>
      </c>
      <c r="Y307" s="75">
        <v>44.04</v>
      </c>
      <c r="Z307" s="105">
        <v>43.75</v>
      </c>
      <c r="AA307" s="104"/>
      <c r="AF307" s="105"/>
    </row>
    <row r="308" spans="2:32" x14ac:dyDescent="0.3">
      <c r="B308" s="111">
        <v>50.499999999999822</v>
      </c>
      <c r="C308" s="104"/>
      <c r="H308" s="105"/>
      <c r="I308" s="104"/>
      <c r="N308" s="105"/>
      <c r="O308" s="104">
        <v>21.344000000000001</v>
      </c>
      <c r="P308" s="75">
        <v>21.42</v>
      </c>
      <c r="Q308" s="75">
        <v>21.295000000000002</v>
      </c>
      <c r="R308" s="75">
        <v>7.5250000000000004</v>
      </c>
      <c r="S308" s="75">
        <v>8.81</v>
      </c>
      <c r="T308" s="105">
        <v>8.4</v>
      </c>
      <c r="U308" s="104">
        <v>20.079999999999998</v>
      </c>
      <c r="V308" s="75">
        <v>20.149999999999999</v>
      </c>
      <c r="W308" s="75">
        <v>20.21</v>
      </c>
      <c r="X308" s="75">
        <v>42.56</v>
      </c>
      <c r="Y308" s="75">
        <v>41.12</v>
      </c>
      <c r="Z308" s="105">
        <v>40.36</v>
      </c>
      <c r="AA308" s="104"/>
      <c r="AF308" s="105"/>
    </row>
    <row r="309" spans="2:32" x14ac:dyDescent="0.3">
      <c r="B309" s="111">
        <v>50.666666666666487</v>
      </c>
      <c r="C309" s="104"/>
      <c r="H309" s="105"/>
      <c r="I309" s="104"/>
      <c r="N309" s="105"/>
      <c r="O309" s="104">
        <v>21.558</v>
      </c>
      <c r="P309" s="75">
        <v>21.56</v>
      </c>
      <c r="Q309" s="75">
        <v>21.442</v>
      </c>
      <c r="R309" s="75">
        <v>7.367</v>
      </c>
      <c r="S309" s="75">
        <v>8.9</v>
      </c>
      <c r="T309" s="105">
        <v>8.61</v>
      </c>
      <c r="U309" s="104">
        <v>20.36</v>
      </c>
      <c r="V309" s="75">
        <v>20.440000000000001</v>
      </c>
      <c r="W309" s="75">
        <v>20.5</v>
      </c>
      <c r="X309" s="75">
        <v>39.07</v>
      </c>
      <c r="Y309" s="75">
        <v>37.369999999999997</v>
      </c>
      <c r="Z309" s="105">
        <v>36.32</v>
      </c>
      <c r="AA309" s="104"/>
      <c r="AF309" s="105"/>
    </row>
    <row r="310" spans="2:32" x14ac:dyDescent="0.3">
      <c r="B310" s="111">
        <v>50.833333333333151</v>
      </c>
      <c r="C310" s="104"/>
      <c r="H310" s="105"/>
      <c r="I310" s="104"/>
      <c r="N310" s="105"/>
      <c r="O310" s="104">
        <v>21.640999999999998</v>
      </c>
      <c r="P310" s="75">
        <v>21.7</v>
      </c>
      <c r="Q310" s="75">
        <v>21.588000000000001</v>
      </c>
      <c r="R310" s="75">
        <v>7.7009999999999996</v>
      </c>
      <c r="S310" s="75">
        <v>8.7899999999999991</v>
      </c>
      <c r="T310" s="105">
        <v>8.66</v>
      </c>
      <c r="U310" s="104">
        <v>20.63</v>
      </c>
      <c r="V310" s="75">
        <v>20.72</v>
      </c>
      <c r="W310" s="75">
        <v>20.79</v>
      </c>
      <c r="X310" s="75">
        <v>34.53</v>
      </c>
      <c r="Y310" s="75">
        <v>32.42</v>
      </c>
      <c r="Z310" s="105">
        <v>31.46</v>
      </c>
      <c r="AA310" s="104"/>
      <c r="AF310" s="105"/>
    </row>
    <row r="311" spans="2:32" x14ac:dyDescent="0.3">
      <c r="B311" s="111">
        <v>50.999999999999815</v>
      </c>
      <c r="C311" s="104"/>
      <c r="H311" s="105"/>
      <c r="I311" s="104"/>
      <c r="N311" s="105"/>
      <c r="O311" s="104">
        <v>21.79</v>
      </c>
      <c r="P311" s="75">
        <v>21.841000000000001</v>
      </c>
      <c r="Q311" s="75">
        <v>21.736999999999998</v>
      </c>
      <c r="R311" s="75">
        <v>7.7889999999999997</v>
      </c>
      <c r="S311" s="75">
        <v>9.1199999999999992</v>
      </c>
      <c r="T311" s="105">
        <v>8.51</v>
      </c>
      <c r="U311" s="104">
        <v>20.92</v>
      </c>
      <c r="V311" s="75">
        <v>21.01</v>
      </c>
      <c r="W311" s="75">
        <v>21.1</v>
      </c>
      <c r="X311" s="75">
        <v>30.45</v>
      </c>
      <c r="Y311" s="75">
        <v>28.08</v>
      </c>
      <c r="Z311" s="105">
        <v>27.37</v>
      </c>
      <c r="AA311" s="104"/>
      <c r="AF311" s="105"/>
    </row>
    <row r="312" spans="2:32" x14ac:dyDescent="0.3">
      <c r="B312" s="111">
        <v>51.16666666666648</v>
      </c>
      <c r="C312" s="104"/>
      <c r="H312" s="105"/>
      <c r="I312" s="104"/>
      <c r="N312" s="105"/>
      <c r="O312" s="104">
        <v>21.91</v>
      </c>
      <c r="P312" s="75">
        <v>21.981000000000002</v>
      </c>
      <c r="Q312" s="75">
        <v>21.879000000000001</v>
      </c>
      <c r="R312" s="75">
        <v>7.923</v>
      </c>
      <c r="S312" s="75">
        <v>8.9700000000000006</v>
      </c>
      <c r="T312" s="105">
        <v>8.89</v>
      </c>
      <c r="U312" s="104">
        <v>21.21</v>
      </c>
      <c r="V312" s="75">
        <v>21.33</v>
      </c>
      <c r="W312" s="75">
        <v>21.41</v>
      </c>
      <c r="X312" s="75">
        <v>27.106999999999999</v>
      </c>
      <c r="Y312" s="75">
        <v>24.13</v>
      </c>
      <c r="Z312" s="105">
        <v>23.28</v>
      </c>
      <c r="AA312" s="104"/>
      <c r="AF312" s="105"/>
    </row>
    <row r="313" spans="2:32" x14ac:dyDescent="0.3">
      <c r="B313" s="111">
        <v>51.333333333333144</v>
      </c>
      <c r="C313" s="104"/>
      <c r="H313" s="105"/>
      <c r="I313" s="104"/>
      <c r="N313" s="105"/>
      <c r="O313" s="104">
        <v>22.06</v>
      </c>
      <c r="P313" s="75">
        <v>22.119</v>
      </c>
      <c r="Q313" s="75">
        <v>22.024999999999999</v>
      </c>
      <c r="R313" s="75">
        <v>8.0500000000000007</v>
      </c>
      <c r="S313" s="75">
        <v>8.9</v>
      </c>
      <c r="T313" s="105">
        <v>8.83</v>
      </c>
      <c r="U313" s="104">
        <v>21.51</v>
      </c>
      <c r="V313" s="75">
        <v>21.65</v>
      </c>
      <c r="W313" s="75">
        <v>21.75</v>
      </c>
      <c r="X313" s="75">
        <v>23.763000000000002</v>
      </c>
      <c r="Y313" s="75">
        <v>20.18</v>
      </c>
      <c r="Z313" s="105">
        <v>19.32</v>
      </c>
      <c r="AA313" s="104"/>
      <c r="AF313" s="105"/>
    </row>
    <row r="314" spans="2:32" x14ac:dyDescent="0.3">
      <c r="B314" s="111">
        <v>51.499999999999808</v>
      </c>
      <c r="C314" s="104"/>
      <c r="H314" s="105"/>
      <c r="I314" s="104"/>
      <c r="N314" s="105"/>
      <c r="O314" s="104">
        <v>22.19</v>
      </c>
      <c r="P314" s="75">
        <v>22.262</v>
      </c>
      <c r="Q314" s="75">
        <v>22.17</v>
      </c>
      <c r="R314" s="75">
        <v>8.1300000000000008</v>
      </c>
      <c r="S314" s="75">
        <v>9.1300000000000008</v>
      </c>
      <c r="T314" s="105">
        <v>8.5399999999999991</v>
      </c>
      <c r="U314" s="104">
        <v>21.81</v>
      </c>
      <c r="V314" s="75">
        <v>21.99</v>
      </c>
      <c r="W314" s="75">
        <v>22.12</v>
      </c>
      <c r="X314" s="75">
        <v>20.3</v>
      </c>
      <c r="Y314" s="75">
        <v>16.12</v>
      </c>
      <c r="Z314" s="105">
        <v>15.46</v>
      </c>
      <c r="AA314" s="104"/>
      <c r="AF314" s="105"/>
    </row>
    <row r="315" spans="2:32" x14ac:dyDescent="0.3">
      <c r="B315" s="111">
        <v>51.666666666666472</v>
      </c>
      <c r="C315" s="104"/>
      <c r="H315" s="105"/>
      <c r="I315" s="104"/>
      <c r="N315" s="105"/>
      <c r="O315" s="104">
        <v>22.32</v>
      </c>
      <c r="P315" s="75">
        <v>22.402999999999999</v>
      </c>
      <c r="Q315" s="75">
        <v>22.317</v>
      </c>
      <c r="R315" s="75">
        <v>8.9700000000000006</v>
      </c>
      <c r="S315" s="75">
        <v>8.89</v>
      </c>
      <c r="T315" s="105">
        <v>8.77</v>
      </c>
      <c r="U315" s="104">
        <v>22.11</v>
      </c>
      <c r="V315" s="75">
        <v>22.35</v>
      </c>
      <c r="W315" s="75">
        <v>22.5</v>
      </c>
      <c r="X315" s="75">
        <v>17.13</v>
      </c>
      <c r="Y315" s="75">
        <v>12.73</v>
      </c>
      <c r="Z315" s="105">
        <v>11.59</v>
      </c>
      <c r="AA315" s="104"/>
      <c r="AF315" s="105"/>
    </row>
    <row r="316" spans="2:32" x14ac:dyDescent="0.3">
      <c r="B316" s="111">
        <v>51.833333333333137</v>
      </c>
      <c r="C316" s="104"/>
      <c r="H316" s="105"/>
      <c r="I316" s="104"/>
      <c r="N316" s="105"/>
      <c r="O316" s="104">
        <v>22.44</v>
      </c>
      <c r="P316" s="75">
        <v>22.545000000000002</v>
      </c>
      <c r="Q316" s="75">
        <v>22.462</v>
      </c>
      <c r="R316" s="75">
        <v>9.34</v>
      </c>
      <c r="S316" s="75">
        <v>8.91</v>
      </c>
      <c r="T316" s="105">
        <v>8.41</v>
      </c>
      <c r="U316" s="104">
        <v>22.4</v>
      </c>
      <c r="V316" s="75">
        <v>22.73</v>
      </c>
      <c r="W316" s="75">
        <v>22.86</v>
      </c>
      <c r="X316" s="75">
        <v>13.52</v>
      </c>
      <c r="Y316" s="75">
        <v>9</v>
      </c>
      <c r="Z316" s="105">
        <v>8.6300000000000008</v>
      </c>
      <c r="AA316" s="104"/>
      <c r="AF316" s="105"/>
    </row>
    <row r="317" spans="2:32" x14ac:dyDescent="0.3">
      <c r="B317" s="111">
        <v>51.999999999999801</v>
      </c>
      <c r="C317" s="104"/>
      <c r="H317" s="105"/>
      <c r="I317" s="104"/>
      <c r="N317" s="105"/>
      <c r="O317" s="104">
        <v>22.57</v>
      </c>
      <c r="P317" s="75">
        <v>22.684000000000001</v>
      </c>
      <c r="Q317" s="75">
        <v>22.608000000000001</v>
      </c>
      <c r="R317" s="75">
        <v>9.49</v>
      </c>
      <c r="S317" s="75">
        <v>9.42</v>
      </c>
      <c r="T317" s="105">
        <v>8.4600000000000009</v>
      </c>
      <c r="U317" s="104">
        <v>22.68</v>
      </c>
      <c r="V317" s="75">
        <v>23.08</v>
      </c>
      <c r="W317" s="75">
        <v>23.15</v>
      </c>
      <c r="X317" s="75">
        <v>10.98</v>
      </c>
      <c r="Y317" s="75">
        <v>7.4790000000000001</v>
      </c>
      <c r="Z317" s="105">
        <v>6.8540000000000001</v>
      </c>
      <c r="AA317" s="104"/>
      <c r="AF317" s="105"/>
    </row>
    <row r="318" spans="2:32" x14ac:dyDescent="0.3">
      <c r="B318" s="111">
        <v>52.166666666666465</v>
      </c>
      <c r="C318" s="104"/>
      <c r="H318" s="105"/>
      <c r="I318" s="104"/>
      <c r="N318" s="105"/>
      <c r="O318" s="104">
        <v>22.7</v>
      </c>
      <c r="P318" s="75">
        <v>22.824999999999999</v>
      </c>
      <c r="Q318" s="75">
        <v>22.754000000000001</v>
      </c>
      <c r="R318" s="75">
        <v>9.5</v>
      </c>
      <c r="S318" s="75">
        <v>9.7100000000000009</v>
      </c>
      <c r="T318" s="105">
        <v>9.0399999999999991</v>
      </c>
      <c r="U318" s="104">
        <v>22.93</v>
      </c>
      <c r="V318" s="75">
        <v>23.33</v>
      </c>
      <c r="W318" s="75">
        <v>23.37</v>
      </c>
      <c r="X318" s="75">
        <v>9.2200000000000006</v>
      </c>
      <c r="Y318" s="75">
        <v>6.173</v>
      </c>
      <c r="Z318" s="105">
        <v>5.5</v>
      </c>
      <c r="AA318" s="104"/>
      <c r="AF318" s="105"/>
    </row>
    <row r="319" spans="2:32" x14ac:dyDescent="0.3">
      <c r="B319" s="111">
        <v>52.33333333333313</v>
      </c>
      <c r="C319" s="104"/>
      <c r="H319" s="105"/>
      <c r="I319" s="104"/>
      <c r="N319" s="105"/>
      <c r="O319" s="104">
        <v>22.84</v>
      </c>
      <c r="P319" s="75">
        <v>22.966000000000001</v>
      </c>
      <c r="Q319" s="75">
        <v>22.9</v>
      </c>
      <c r="R319" s="75">
        <v>9.8000000000000007</v>
      </c>
      <c r="S319" s="75">
        <v>10.06</v>
      </c>
      <c r="T319" s="105">
        <v>9.67</v>
      </c>
      <c r="U319" s="104">
        <v>23.14</v>
      </c>
      <c r="V319" s="75">
        <v>23.54</v>
      </c>
      <c r="W319" s="75">
        <v>23.56</v>
      </c>
      <c r="X319" s="75">
        <v>8.18</v>
      </c>
      <c r="Y319" s="75">
        <v>5.6849999999999996</v>
      </c>
      <c r="Z319" s="105">
        <v>5.2119999999999997</v>
      </c>
      <c r="AA319" s="104"/>
      <c r="AF319" s="105"/>
    </row>
    <row r="320" spans="2:32" x14ac:dyDescent="0.3">
      <c r="B320" s="111">
        <v>52.499999999999794</v>
      </c>
      <c r="C320" s="104"/>
      <c r="H320" s="105"/>
      <c r="I320" s="104"/>
      <c r="N320" s="105"/>
      <c r="O320" s="104">
        <v>22.97</v>
      </c>
      <c r="P320" s="75">
        <v>23.106000000000002</v>
      </c>
      <c r="Q320" s="75">
        <v>23.045000000000002</v>
      </c>
      <c r="R320" s="75">
        <v>10.1</v>
      </c>
      <c r="S320" s="75">
        <v>9.84</v>
      </c>
      <c r="T320" s="105">
        <v>9.77</v>
      </c>
      <c r="U320" s="104">
        <v>23.34</v>
      </c>
      <c r="V320" s="75">
        <v>23.72</v>
      </c>
      <c r="W320" s="75">
        <v>23.74</v>
      </c>
      <c r="X320" s="75">
        <v>7.4429999999999996</v>
      </c>
      <c r="Y320" s="75">
        <v>5.0940000000000003</v>
      </c>
      <c r="Z320" s="105">
        <v>4.8929999999999998</v>
      </c>
      <c r="AA320" s="104"/>
      <c r="AF320" s="105"/>
    </row>
    <row r="321" spans="2:32" x14ac:dyDescent="0.3">
      <c r="B321" s="111">
        <v>52.666666666666458</v>
      </c>
      <c r="C321" s="104"/>
      <c r="H321" s="105"/>
      <c r="I321" s="104"/>
      <c r="N321" s="105"/>
      <c r="O321" s="104">
        <v>23.11</v>
      </c>
      <c r="P321" s="75">
        <v>23.245999999999999</v>
      </c>
      <c r="Q321" s="75">
        <v>23.190999999999999</v>
      </c>
      <c r="R321" s="75">
        <v>10.6</v>
      </c>
      <c r="S321" s="75">
        <v>10.28</v>
      </c>
      <c r="T321" s="105">
        <v>9.75</v>
      </c>
      <c r="U321" s="104">
        <v>23.51</v>
      </c>
      <c r="V321" s="75">
        <v>23.87</v>
      </c>
      <c r="W321" s="75">
        <v>23.9</v>
      </c>
      <c r="X321" s="75">
        <v>6.8730000000000002</v>
      </c>
      <c r="Y321" s="75">
        <v>4.7370000000000001</v>
      </c>
      <c r="Z321" s="105">
        <v>4.3630000000000004</v>
      </c>
      <c r="AA321" s="104"/>
      <c r="AF321" s="105"/>
    </row>
    <row r="322" spans="2:32" x14ac:dyDescent="0.3">
      <c r="B322" s="111">
        <v>52.833333333333123</v>
      </c>
      <c r="C322" s="104"/>
      <c r="H322" s="105"/>
      <c r="I322" s="104"/>
      <c r="N322" s="105"/>
      <c r="O322" s="104">
        <v>23.24</v>
      </c>
      <c r="P322" s="75">
        <v>23.388000000000002</v>
      </c>
      <c r="Q322" s="75">
        <v>23.337</v>
      </c>
      <c r="R322" s="75">
        <v>10.95</v>
      </c>
      <c r="S322" s="75">
        <v>10.42</v>
      </c>
      <c r="T322" s="105">
        <v>10.47</v>
      </c>
      <c r="U322" s="104">
        <v>23.68</v>
      </c>
      <c r="V322" s="75">
        <v>24.01</v>
      </c>
      <c r="W322" s="75">
        <v>24.04</v>
      </c>
      <c r="X322" s="75">
        <v>6.7130000000000001</v>
      </c>
      <c r="Y322" s="75">
        <v>4.5289999999999999</v>
      </c>
      <c r="Z322" s="105">
        <v>4.0570000000000004</v>
      </c>
      <c r="AA322" s="104"/>
      <c r="AF322" s="105"/>
    </row>
    <row r="323" spans="2:32" x14ac:dyDescent="0.3">
      <c r="B323" s="111">
        <v>52.999999999999787</v>
      </c>
      <c r="C323" s="104"/>
      <c r="H323" s="105"/>
      <c r="I323" s="104"/>
      <c r="N323" s="105"/>
      <c r="O323" s="104">
        <v>23.37</v>
      </c>
      <c r="P323" s="75">
        <v>23.527999999999999</v>
      </c>
      <c r="Q323" s="75">
        <v>23.48</v>
      </c>
      <c r="R323" s="75">
        <v>11.23</v>
      </c>
      <c r="S323" s="75">
        <v>10.6</v>
      </c>
      <c r="T323" s="105">
        <v>10.9</v>
      </c>
      <c r="U323" s="104">
        <v>23.84</v>
      </c>
      <c r="V323" s="75">
        <v>24.14</v>
      </c>
      <c r="W323" s="75">
        <v>24.18</v>
      </c>
      <c r="X323" s="75">
        <v>6.2130000000000001</v>
      </c>
      <c r="Y323" s="75">
        <v>4.2249999999999996</v>
      </c>
      <c r="Z323" s="105">
        <v>4.0880000000000001</v>
      </c>
      <c r="AA323" s="104"/>
      <c r="AF323" s="105"/>
    </row>
    <row r="324" spans="2:32" x14ac:dyDescent="0.3">
      <c r="B324" s="111">
        <v>53.166666666666451</v>
      </c>
      <c r="C324" s="104"/>
      <c r="H324" s="105"/>
      <c r="I324" s="104"/>
      <c r="N324" s="105"/>
      <c r="O324" s="104">
        <v>23.5</v>
      </c>
      <c r="P324" s="75">
        <v>23.667999999999999</v>
      </c>
      <c r="Q324" s="75">
        <v>23.628</v>
      </c>
      <c r="R324" s="75">
        <v>11.82</v>
      </c>
      <c r="S324" s="75">
        <v>10.99</v>
      </c>
      <c r="T324" s="105">
        <v>10.89</v>
      </c>
      <c r="U324" s="104">
        <v>23.99</v>
      </c>
      <c r="V324" s="75">
        <v>24.26</v>
      </c>
      <c r="W324" s="75">
        <v>24.31</v>
      </c>
      <c r="X324" s="75">
        <v>6.1040000000000001</v>
      </c>
      <c r="Y324" s="75">
        <v>4.3390000000000004</v>
      </c>
      <c r="Z324" s="105">
        <v>3.964</v>
      </c>
      <c r="AA324" s="104"/>
      <c r="AF324" s="105"/>
    </row>
    <row r="325" spans="2:32" x14ac:dyDescent="0.3">
      <c r="B325" s="111">
        <v>53.333333333333115</v>
      </c>
      <c r="C325" s="104"/>
      <c r="H325" s="105"/>
      <c r="I325" s="104"/>
      <c r="N325" s="105"/>
      <c r="O325" s="104">
        <v>23.63</v>
      </c>
      <c r="P325" s="75">
        <v>23.806000000000001</v>
      </c>
      <c r="Q325" s="75">
        <v>23.774000000000001</v>
      </c>
      <c r="R325" s="75">
        <v>11.94</v>
      </c>
      <c r="S325" s="75">
        <v>11.33</v>
      </c>
      <c r="T325" s="105">
        <v>10.96</v>
      </c>
      <c r="U325" s="104">
        <v>24.14</v>
      </c>
      <c r="V325" s="75">
        <v>24.4</v>
      </c>
      <c r="W325" s="75">
        <v>24.44</v>
      </c>
      <c r="X325" s="75">
        <v>6.0039999999999996</v>
      </c>
      <c r="Y325" s="75">
        <v>4.4480000000000004</v>
      </c>
      <c r="Z325" s="105">
        <v>4.1219999999999999</v>
      </c>
      <c r="AA325" s="104"/>
      <c r="AF325" s="105"/>
    </row>
    <row r="326" spans="2:32" x14ac:dyDescent="0.3">
      <c r="B326" s="111">
        <v>53.49999999999978</v>
      </c>
      <c r="C326" s="104"/>
      <c r="H326" s="105"/>
      <c r="I326" s="104"/>
      <c r="N326" s="105"/>
      <c r="O326" s="104">
        <v>23.76</v>
      </c>
      <c r="P326" s="75">
        <v>23.949000000000002</v>
      </c>
      <c r="Q326" s="75">
        <v>23.917000000000002</v>
      </c>
      <c r="R326" s="75">
        <v>12.4</v>
      </c>
      <c r="S326" s="75">
        <v>11.8</v>
      </c>
      <c r="T326" s="105">
        <v>11.41</v>
      </c>
      <c r="U326" s="104">
        <v>24.28</v>
      </c>
      <c r="V326" s="75">
        <v>24.52</v>
      </c>
      <c r="W326" s="75">
        <v>24.58</v>
      </c>
      <c r="X326" s="75">
        <v>5.7229999999999999</v>
      </c>
      <c r="Y326" s="75">
        <v>4.33</v>
      </c>
      <c r="Z326" s="105">
        <v>4.07</v>
      </c>
      <c r="AA326" s="104"/>
      <c r="AF326" s="105"/>
    </row>
    <row r="327" spans="2:32" x14ac:dyDescent="0.3">
      <c r="B327" s="111">
        <v>53.666666666666444</v>
      </c>
      <c r="C327" s="104"/>
      <c r="H327" s="105"/>
      <c r="I327" s="104"/>
      <c r="N327" s="105"/>
      <c r="O327" s="104">
        <v>23.89</v>
      </c>
      <c r="P327" s="75">
        <v>24.09</v>
      </c>
      <c r="Q327" s="75">
        <v>24.04</v>
      </c>
      <c r="R327" s="75">
        <v>12.79</v>
      </c>
      <c r="S327" s="75">
        <v>12.25</v>
      </c>
      <c r="T327" s="105">
        <v>11.54</v>
      </c>
      <c r="U327" s="104">
        <v>24.43</v>
      </c>
      <c r="V327" s="75">
        <v>24.66</v>
      </c>
      <c r="W327" s="75">
        <v>24.72</v>
      </c>
      <c r="X327" s="75">
        <v>5.7409999999999997</v>
      </c>
      <c r="Y327" s="75">
        <v>4.8849999999999998</v>
      </c>
      <c r="Z327" s="105">
        <v>4.5839999999999996</v>
      </c>
      <c r="AA327" s="104"/>
      <c r="AF327" s="105"/>
    </row>
    <row r="328" spans="2:32" x14ac:dyDescent="0.3">
      <c r="B328" s="111">
        <v>53.833333333333108</v>
      </c>
      <c r="C328" s="104"/>
      <c r="H328" s="105"/>
      <c r="I328" s="104"/>
      <c r="N328" s="105"/>
      <c r="O328" s="104">
        <v>24.03</v>
      </c>
      <c r="P328" s="75">
        <v>24.23</v>
      </c>
      <c r="Q328" s="75">
        <v>24.18</v>
      </c>
      <c r="R328" s="75">
        <v>13.04</v>
      </c>
      <c r="S328" s="75">
        <v>12.29</v>
      </c>
      <c r="T328" s="105">
        <v>12.01</v>
      </c>
      <c r="U328" s="104">
        <v>24.58</v>
      </c>
      <c r="V328" s="75">
        <v>24.8</v>
      </c>
      <c r="W328" s="75">
        <v>24.86</v>
      </c>
      <c r="X328" s="75">
        <v>6.2869999999999999</v>
      </c>
      <c r="Y328" s="75">
        <v>4.8860000000000001</v>
      </c>
      <c r="Z328" s="105">
        <v>4.25</v>
      </c>
      <c r="AA328" s="104"/>
      <c r="AF328" s="105"/>
    </row>
    <row r="329" spans="2:32" x14ac:dyDescent="0.3">
      <c r="B329" s="111">
        <v>53.999999999999773</v>
      </c>
      <c r="C329" s="104"/>
      <c r="H329" s="105"/>
      <c r="I329" s="104"/>
      <c r="N329" s="105"/>
      <c r="O329" s="104">
        <v>24.17</v>
      </c>
      <c r="P329" s="75">
        <v>24.36</v>
      </c>
      <c r="Q329" s="75">
        <v>24.3</v>
      </c>
      <c r="R329" s="75">
        <v>13.41</v>
      </c>
      <c r="S329" s="75">
        <v>13.2</v>
      </c>
      <c r="T329" s="105">
        <v>12.25</v>
      </c>
      <c r="U329" s="104">
        <v>24.73</v>
      </c>
      <c r="V329" s="75">
        <v>24.95</v>
      </c>
      <c r="W329" s="75">
        <v>24.99</v>
      </c>
      <c r="X329" s="75">
        <v>6.1079999999999997</v>
      </c>
      <c r="Y329" s="75">
        <v>4.8739999999999997</v>
      </c>
      <c r="Z329" s="105">
        <v>4.1920000000000002</v>
      </c>
      <c r="AA329" s="104"/>
      <c r="AF329" s="105"/>
    </row>
    <row r="330" spans="2:32" x14ac:dyDescent="0.3">
      <c r="B330" s="111">
        <v>54.166666666666437</v>
      </c>
      <c r="C330" s="104"/>
      <c r="H330" s="105"/>
      <c r="I330" s="104"/>
      <c r="N330" s="105"/>
      <c r="O330" s="104">
        <v>24.3</v>
      </c>
      <c r="P330" s="75">
        <v>24.47</v>
      </c>
      <c r="Q330" s="75">
        <v>24.42</v>
      </c>
      <c r="R330" s="75">
        <v>14.31</v>
      </c>
      <c r="S330" s="75">
        <v>13.5</v>
      </c>
      <c r="T330" s="105">
        <v>13.16</v>
      </c>
      <c r="U330" s="104">
        <v>24.88</v>
      </c>
      <c r="V330" s="75">
        <v>25.08</v>
      </c>
      <c r="W330" s="75">
        <v>25.14</v>
      </c>
      <c r="X330" s="75">
        <v>5.7359999999999998</v>
      </c>
      <c r="Y330" s="75">
        <v>4.5919999999999996</v>
      </c>
      <c r="Z330" s="105">
        <v>4.6589999999999998</v>
      </c>
      <c r="AA330" s="104"/>
      <c r="AF330" s="105"/>
    </row>
    <row r="331" spans="2:32" x14ac:dyDescent="0.3">
      <c r="B331" s="111">
        <v>54.333333333333101</v>
      </c>
      <c r="C331" s="104"/>
      <c r="H331" s="105"/>
      <c r="I331" s="104"/>
      <c r="N331" s="105"/>
      <c r="O331" s="104">
        <v>24.42</v>
      </c>
      <c r="P331" s="75">
        <v>24.6</v>
      </c>
      <c r="Q331" s="75">
        <v>24.56</v>
      </c>
      <c r="R331" s="75">
        <v>14.68</v>
      </c>
      <c r="S331" s="75">
        <v>13.95</v>
      </c>
      <c r="T331" s="105">
        <v>13.15</v>
      </c>
      <c r="U331" s="104">
        <v>25.02</v>
      </c>
      <c r="V331" s="75">
        <v>25.21</v>
      </c>
      <c r="W331" s="75">
        <v>25.28</v>
      </c>
      <c r="X331" s="75">
        <v>5.625</v>
      </c>
      <c r="Y331" s="75">
        <v>4.8540000000000001</v>
      </c>
      <c r="Z331" s="105">
        <v>4.5339999999999998</v>
      </c>
      <c r="AA331" s="104"/>
      <c r="AF331" s="105"/>
    </row>
    <row r="332" spans="2:32" x14ac:dyDescent="0.3">
      <c r="B332" s="111">
        <v>54.499999999999766</v>
      </c>
      <c r="C332" s="104"/>
      <c r="H332" s="105"/>
      <c r="I332" s="104"/>
      <c r="N332" s="105"/>
      <c r="O332" s="104">
        <v>24.54</v>
      </c>
      <c r="P332" s="75">
        <v>24.73</v>
      </c>
      <c r="Q332" s="75">
        <v>24.68</v>
      </c>
      <c r="R332" s="75">
        <v>14.88</v>
      </c>
      <c r="S332" s="75">
        <v>14.12</v>
      </c>
      <c r="T332" s="105">
        <v>13.39</v>
      </c>
      <c r="U332" s="104">
        <v>25.16</v>
      </c>
      <c r="V332" s="75">
        <v>25.36</v>
      </c>
      <c r="W332" s="75">
        <v>25.42</v>
      </c>
      <c r="X332" s="75">
        <v>5.431</v>
      </c>
      <c r="Y332" s="75">
        <v>4.8630000000000004</v>
      </c>
      <c r="Z332" s="105">
        <v>4.5759999999999996</v>
      </c>
      <c r="AA332" s="104"/>
      <c r="AF332" s="105"/>
    </row>
    <row r="333" spans="2:32" x14ac:dyDescent="0.3">
      <c r="B333" s="111">
        <v>54.66666666666643</v>
      </c>
      <c r="C333" s="104"/>
      <c r="H333" s="105"/>
      <c r="I333" s="104"/>
      <c r="N333" s="105"/>
      <c r="O333" s="104">
        <v>24.67</v>
      </c>
      <c r="P333" s="75">
        <v>24.85</v>
      </c>
      <c r="Q333" s="75">
        <v>24.82</v>
      </c>
      <c r="R333" s="75">
        <v>15.19</v>
      </c>
      <c r="S333" s="75">
        <v>14.63</v>
      </c>
      <c r="T333" s="105">
        <v>14.18</v>
      </c>
      <c r="U333" s="104">
        <v>25.3</v>
      </c>
      <c r="V333" s="75">
        <v>25.49</v>
      </c>
      <c r="W333" s="75">
        <v>25.57</v>
      </c>
      <c r="X333" s="75">
        <v>5.5410000000000004</v>
      </c>
      <c r="Y333" s="75">
        <v>4.9180000000000001</v>
      </c>
      <c r="Z333" s="105">
        <v>4.524</v>
      </c>
      <c r="AA333" s="104"/>
      <c r="AF333" s="105"/>
    </row>
    <row r="334" spans="2:32" x14ac:dyDescent="0.3">
      <c r="B334" s="111">
        <v>54.833333333333094</v>
      </c>
      <c r="C334" s="104"/>
      <c r="H334" s="105"/>
      <c r="I334" s="104"/>
      <c r="N334" s="105"/>
      <c r="O334" s="104">
        <v>24.8</v>
      </c>
      <c r="P334" s="75">
        <v>24.98</v>
      </c>
      <c r="Q334" s="75">
        <v>24.95</v>
      </c>
      <c r="R334" s="75">
        <v>15.47</v>
      </c>
      <c r="S334" s="75">
        <v>15.1</v>
      </c>
      <c r="T334" s="105">
        <v>14.5</v>
      </c>
      <c r="U334" s="104">
        <v>25.44</v>
      </c>
      <c r="V334" s="75">
        <v>25.63</v>
      </c>
      <c r="W334" s="75">
        <v>25.71</v>
      </c>
      <c r="X334" s="75">
        <v>5.5170000000000003</v>
      </c>
      <c r="Y334" s="75">
        <v>5.0350000000000001</v>
      </c>
      <c r="Z334" s="105">
        <v>4.75</v>
      </c>
      <c r="AA334" s="104"/>
      <c r="AF334" s="105"/>
    </row>
    <row r="335" spans="2:32" x14ac:dyDescent="0.3">
      <c r="B335" s="111">
        <v>54.999999999999758</v>
      </c>
      <c r="C335" s="104"/>
      <c r="H335" s="105"/>
      <c r="I335" s="104"/>
      <c r="N335" s="105"/>
      <c r="O335" s="104">
        <v>24.92</v>
      </c>
      <c r="P335" s="75">
        <v>25.11</v>
      </c>
      <c r="Q335" s="75">
        <v>25.08</v>
      </c>
      <c r="R335" s="75">
        <v>15.97</v>
      </c>
      <c r="S335" s="75">
        <v>15.71</v>
      </c>
      <c r="T335" s="105">
        <v>14.99</v>
      </c>
      <c r="U335" s="104">
        <v>25.58</v>
      </c>
      <c r="V335" s="75">
        <v>25.77</v>
      </c>
      <c r="W335" s="75">
        <v>25.85</v>
      </c>
      <c r="X335" s="75">
        <v>5.5590000000000002</v>
      </c>
      <c r="Y335" s="75">
        <v>5.17</v>
      </c>
      <c r="Z335" s="105">
        <v>4.6159999999999997</v>
      </c>
      <c r="AA335" s="104"/>
      <c r="AF335" s="105"/>
    </row>
    <row r="336" spans="2:32" x14ac:dyDescent="0.3">
      <c r="B336" s="111">
        <v>55.166666666666423</v>
      </c>
      <c r="C336" s="104"/>
      <c r="H336" s="105"/>
      <c r="I336" s="104"/>
      <c r="N336" s="105"/>
      <c r="O336" s="104">
        <v>25.07</v>
      </c>
      <c r="P336" s="75">
        <v>25.24</v>
      </c>
      <c r="Q336" s="75">
        <v>25.22</v>
      </c>
      <c r="R336" s="75">
        <v>16.489999999999998</v>
      </c>
      <c r="S336" s="75">
        <v>16.100000000000001</v>
      </c>
      <c r="T336" s="105">
        <v>15.34</v>
      </c>
      <c r="U336" s="104">
        <v>25.73</v>
      </c>
      <c r="V336" s="75">
        <v>25.92</v>
      </c>
      <c r="W336" s="75">
        <v>25.98</v>
      </c>
      <c r="X336" s="75">
        <v>6.0119999999999996</v>
      </c>
      <c r="Y336" s="75">
        <v>5.1470000000000002</v>
      </c>
      <c r="Z336" s="105">
        <v>4.2850000000000001</v>
      </c>
      <c r="AA336" s="104"/>
      <c r="AF336" s="105"/>
    </row>
    <row r="337" spans="2:32" x14ac:dyDescent="0.3">
      <c r="B337" s="111">
        <v>55.333333333333087</v>
      </c>
      <c r="C337" s="104"/>
      <c r="H337" s="105"/>
      <c r="I337" s="104"/>
      <c r="N337" s="105"/>
      <c r="O337" s="104">
        <v>25.21</v>
      </c>
      <c r="P337" s="75">
        <v>25.36</v>
      </c>
      <c r="Q337" s="75">
        <v>25.33</v>
      </c>
      <c r="R337" s="75">
        <v>16.87</v>
      </c>
      <c r="S337" s="75">
        <v>16.739999999999998</v>
      </c>
      <c r="T337" s="105">
        <v>15.95</v>
      </c>
      <c r="U337" s="104">
        <v>25.88</v>
      </c>
      <c r="V337" s="75">
        <v>26.05</v>
      </c>
      <c r="W337" s="75">
        <v>26.12</v>
      </c>
      <c r="X337" s="75">
        <v>5.82</v>
      </c>
      <c r="Y337" s="75">
        <v>4.9740000000000002</v>
      </c>
      <c r="Z337" s="105">
        <v>4.2770000000000001</v>
      </c>
      <c r="AA337" s="104"/>
      <c r="AF337" s="105"/>
    </row>
    <row r="338" spans="2:32" x14ac:dyDescent="0.3">
      <c r="B338" s="111">
        <v>55.499999999999751</v>
      </c>
      <c r="C338" s="104"/>
      <c r="H338" s="105"/>
      <c r="I338" s="104"/>
      <c r="N338" s="105"/>
      <c r="O338" s="104">
        <v>25.35</v>
      </c>
      <c r="P338" s="75">
        <v>25.49</v>
      </c>
      <c r="Q338" s="75">
        <v>25.46</v>
      </c>
      <c r="R338" s="75">
        <v>17.87</v>
      </c>
      <c r="S338" s="75">
        <v>17.28</v>
      </c>
      <c r="T338" s="105">
        <v>16.45</v>
      </c>
      <c r="U338" s="104">
        <v>26.03</v>
      </c>
      <c r="V338" s="75">
        <v>26.19</v>
      </c>
      <c r="W338" s="75">
        <v>26.25</v>
      </c>
      <c r="X338" s="75">
        <v>5.9139999999999997</v>
      </c>
      <c r="Y338" s="75">
        <v>5.048</v>
      </c>
      <c r="Z338" s="105">
        <v>4.3319999999999999</v>
      </c>
      <c r="AA338" s="104"/>
      <c r="AF338" s="105"/>
    </row>
    <row r="339" spans="2:32" x14ac:dyDescent="0.3">
      <c r="B339" s="111">
        <v>55.666666666666416</v>
      </c>
      <c r="C339" s="104"/>
      <c r="H339" s="105"/>
      <c r="I339" s="104"/>
      <c r="N339" s="105"/>
      <c r="O339" s="104">
        <v>25.47</v>
      </c>
      <c r="P339" s="75">
        <v>25.61</v>
      </c>
      <c r="Q339" s="75">
        <v>25.59</v>
      </c>
      <c r="R339" s="75">
        <v>18.12</v>
      </c>
      <c r="S339" s="75">
        <v>17.75</v>
      </c>
      <c r="T339" s="105">
        <v>16.53</v>
      </c>
      <c r="U339" s="104">
        <v>26.18</v>
      </c>
      <c r="V339" s="75">
        <v>26.33</v>
      </c>
      <c r="W339" s="75">
        <v>26.39</v>
      </c>
      <c r="X339" s="75">
        <v>5.7290000000000001</v>
      </c>
      <c r="Y339" s="75">
        <v>4.8109999999999999</v>
      </c>
      <c r="Z339" s="105">
        <v>4.3070000000000004</v>
      </c>
      <c r="AA339" s="104"/>
      <c r="AF339" s="105"/>
    </row>
    <row r="340" spans="2:32" x14ac:dyDescent="0.3">
      <c r="B340" s="111">
        <v>55.83333333333308</v>
      </c>
      <c r="C340" s="104"/>
      <c r="H340" s="105"/>
      <c r="I340" s="104"/>
      <c r="N340" s="105"/>
      <c r="O340" s="104">
        <v>25.58</v>
      </c>
      <c r="P340" s="75">
        <v>25.73</v>
      </c>
      <c r="Q340" s="75">
        <v>25.72</v>
      </c>
      <c r="R340" s="75">
        <v>18.71</v>
      </c>
      <c r="S340" s="75">
        <v>18.13</v>
      </c>
      <c r="T340" s="105">
        <v>17</v>
      </c>
      <c r="U340" s="104">
        <v>26.31</v>
      </c>
      <c r="V340" s="75">
        <v>26.47</v>
      </c>
      <c r="W340" s="75">
        <v>26.54</v>
      </c>
      <c r="X340" s="75">
        <v>5.61</v>
      </c>
      <c r="Y340" s="75">
        <v>4.9880000000000004</v>
      </c>
      <c r="Z340" s="105">
        <v>4.4219999999999997</v>
      </c>
      <c r="AA340" s="104"/>
      <c r="AF340" s="105"/>
    </row>
    <row r="341" spans="2:32" x14ac:dyDescent="0.3">
      <c r="B341" s="111">
        <v>55.999999999999744</v>
      </c>
      <c r="C341" s="104"/>
      <c r="H341" s="105"/>
      <c r="I341" s="104"/>
      <c r="N341" s="105"/>
      <c r="O341" s="104">
        <v>25.72</v>
      </c>
      <c r="P341" s="75">
        <v>25.85</v>
      </c>
      <c r="Q341" s="75">
        <v>25.84</v>
      </c>
      <c r="R341" s="75">
        <v>18.91</v>
      </c>
      <c r="S341" s="75">
        <v>18.39</v>
      </c>
      <c r="T341" s="105">
        <v>17.510000000000002</v>
      </c>
      <c r="U341" s="104">
        <v>26.45</v>
      </c>
      <c r="V341" s="75">
        <v>26.6</v>
      </c>
      <c r="W341" s="75">
        <v>26.68</v>
      </c>
      <c r="X341" s="75">
        <v>5.7380000000000004</v>
      </c>
      <c r="Y341" s="75">
        <v>4.8209999999999997</v>
      </c>
      <c r="Z341" s="105">
        <v>4.4480000000000004</v>
      </c>
      <c r="AA341" s="104"/>
      <c r="AF341" s="105"/>
    </row>
    <row r="342" spans="2:32" x14ac:dyDescent="0.3">
      <c r="B342" s="111">
        <v>56.166666666666409</v>
      </c>
      <c r="C342" s="104"/>
      <c r="H342" s="105"/>
      <c r="I342" s="104"/>
      <c r="N342" s="105"/>
      <c r="O342" s="104">
        <v>25.84</v>
      </c>
      <c r="P342" s="75">
        <v>25.99</v>
      </c>
      <c r="Q342" s="75">
        <v>25.96</v>
      </c>
      <c r="R342" s="75">
        <v>19.12</v>
      </c>
      <c r="S342" s="75">
        <v>19.02</v>
      </c>
      <c r="T342" s="105">
        <v>17.920000000000002</v>
      </c>
      <c r="U342" s="104">
        <v>26.59</v>
      </c>
      <c r="V342" s="75">
        <v>26.75</v>
      </c>
      <c r="W342" s="75">
        <v>26.84</v>
      </c>
      <c r="X342" s="75">
        <v>5.5140000000000002</v>
      </c>
      <c r="Y342" s="75">
        <v>5.3940000000000001</v>
      </c>
      <c r="Z342" s="105">
        <v>4.8079999999999998</v>
      </c>
      <c r="AA342" s="104"/>
      <c r="AF342" s="105"/>
    </row>
    <row r="343" spans="2:32" x14ac:dyDescent="0.3">
      <c r="B343" s="111">
        <v>56.333333333333073</v>
      </c>
      <c r="C343" s="104"/>
      <c r="H343" s="105"/>
      <c r="I343" s="104"/>
      <c r="N343" s="105"/>
      <c r="O343" s="104">
        <v>25.98</v>
      </c>
      <c r="P343" s="75">
        <v>26.12</v>
      </c>
      <c r="Q343" s="75">
        <v>26.11</v>
      </c>
      <c r="R343" s="75">
        <v>19.71</v>
      </c>
      <c r="S343" s="75">
        <v>19.010000000000002</v>
      </c>
      <c r="T343" s="105">
        <v>18.3</v>
      </c>
      <c r="U343" s="104">
        <v>26.75</v>
      </c>
      <c r="V343" s="75">
        <v>26.9</v>
      </c>
      <c r="W343" s="75">
        <v>26.99</v>
      </c>
      <c r="X343" s="75">
        <v>6.0490000000000004</v>
      </c>
      <c r="Y343" s="75">
        <v>5.2240000000000002</v>
      </c>
      <c r="Z343" s="105">
        <v>4.7009999999999996</v>
      </c>
      <c r="AA343" s="104"/>
      <c r="AF343" s="105"/>
    </row>
    <row r="344" spans="2:32" x14ac:dyDescent="0.3">
      <c r="B344" s="111">
        <v>56.499999999999737</v>
      </c>
      <c r="C344" s="104"/>
      <c r="H344" s="105"/>
      <c r="I344" s="104"/>
      <c r="N344" s="105"/>
      <c r="O344" s="104">
        <v>26.12</v>
      </c>
      <c r="P344" s="75">
        <v>26.24</v>
      </c>
      <c r="Q344" s="75">
        <v>26.25</v>
      </c>
      <c r="R344" s="75">
        <v>19.73</v>
      </c>
      <c r="S344" s="75">
        <v>20.03</v>
      </c>
      <c r="T344" s="105">
        <v>18.84</v>
      </c>
      <c r="U344" s="104">
        <v>26.91</v>
      </c>
      <c r="V344" s="75">
        <v>27.04</v>
      </c>
      <c r="W344" s="75">
        <v>27.12</v>
      </c>
      <c r="X344" s="75">
        <v>6.1139999999999999</v>
      </c>
      <c r="Y344" s="75">
        <v>4.9630000000000001</v>
      </c>
      <c r="Z344" s="105">
        <v>4.468</v>
      </c>
      <c r="AA344" s="104"/>
      <c r="AF344" s="105"/>
    </row>
    <row r="345" spans="2:32" x14ac:dyDescent="0.3">
      <c r="B345" s="111">
        <v>56.666666666666401</v>
      </c>
      <c r="C345" s="104"/>
      <c r="H345" s="105"/>
      <c r="I345" s="104"/>
      <c r="N345" s="105"/>
      <c r="O345" s="104">
        <v>26.26</v>
      </c>
      <c r="P345" s="75">
        <v>26.37</v>
      </c>
      <c r="Q345" s="75">
        <v>26.37</v>
      </c>
      <c r="R345" s="75">
        <v>20.93</v>
      </c>
      <c r="S345" s="75">
        <v>20.239999999999998</v>
      </c>
      <c r="T345" s="105">
        <v>19.690000000000001</v>
      </c>
      <c r="U345" s="104">
        <v>27.05</v>
      </c>
      <c r="V345" s="75">
        <v>27.18</v>
      </c>
      <c r="W345" s="75">
        <v>27.26</v>
      </c>
      <c r="X345" s="75">
        <v>6.07</v>
      </c>
      <c r="Y345" s="75">
        <v>4.9219999999999997</v>
      </c>
      <c r="Z345" s="105">
        <v>4.1790000000000003</v>
      </c>
      <c r="AA345" s="104"/>
      <c r="AF345" s="105"/>
    </row>
    <row r="346" spans="2:32" x14ac:dyDescent="0.3">
      <c r="B346" s="111">
        <v>56.833333333333066</v>
      </c>
      <c r="C346" s="104"/>
      <c r="H346" s="105"/>
      <c r="I346" s="104"/>
      <c r="N346" s="105"/>
      <c r="O346" s="104">
        <v>26.37</v>
      </c>
      <c r="P346" s="75">
        <v>26.5</v>
      </c>
      <c r="Q346" s="75">
        <v>26.5</v>
      </c>
      <c r="R346" s="75">
        <v>21.49</v>
      </c>
      <c r="S346" s="75">
        <v>20.57</v>
      </c>
      <c r="T346" s="105">
        <v>20.12</v>
      </c>
      <c r="U346" s="104">
        <v>27.19</v>
      </c>
      <c r="V346" s="75">
        <v>27.31</v>
      </c>
      <c r="W346" s="75">
        <v>27.4</v>
      </c>
      <c r="X346" s="75">
        <v>6.03</v>
      </c>
      <c r="Y346" s="75">
        <v>4.7539999999999996</v>
      </c>
      <c r="Z346" s="105">
        <v>4.2370000000000001</v>
      </c>
      <c r="AA346" s="104"/>
      <c r="AF346" s="105"/>
    </row>
    <row r="347" spans="2:32" x14ac:dyDescent="0.3">
      <c r="B347" s="111">
        <v>56.99999999999973</v>
      </c>
      <c r="C347" s="104"/>
      <c r="H347" s="105"/>
      <c r="I347" s="104"/>
      <c r="N347" s="105"/>
      <c r="O347" s="104">
        <v>26.49</v>
      </c>
      <c r="P347" s="75">
        <v>26.635000000000002</v>
      </c>
      <c r="Q347" s="75">
        <v>26.63</v>
      </c>
      <c r="R347" s="75">
        <v>21.92</v>
      </c>
      <c r="S347" s="75">
        <v>21.1</v>
      </c>
      <c r="T347" s="105">
        <v>20.46</v>
      </c>
      <c r="U347" s="104">
        <v>27.33</v>
      </c>
      <c r="V347" s="75">
        <v>27.46</v>
      </c>
      <c r="W347" s="75">
        <v>27.54</v>
      </c>
      <c r="X347" s="75">
        <v>6.58</v>
      </c>
      <c r="Y347" s="75">
        <v>5.05</v>
      </c>
      <c r="Z347" s="105">
        <v>4.2619999999999996</v>
      </c>
      <c r="AA347" s="104"/>
      <c r="AF347" s="105"/>
    </row>
    <row r="348" spans="2:32" x14ac:dyDescent="0.3">
      <c r="B348" s="111">
        <v>57.166666666666394</v>
      </c>
      <c r="C348" s="104"/>
      <c r="H348" s="105"/>
      <c r="I348" s="104"/>
      <c r="N348" s="105"/>
      <c r="O348" s="104">
        <v>26.61</v>
      </c>
      <c r="P348" s="75">
        <v>26.754999999999999</v>
      </c>
      <c r="Q348" s="75">
        <v>26.748000000000001</v>
      </c>
      <c r="R348" s="75">
        <v>22.11</v>
      </c>
      <c r="S348" s="75">
        <v>21.48</v>
      </c>
      <c r="T348" s="105">
        <v>20.77</v>
      </c>
      <c r="U348" s="104">
        <v>27.47</v>
      </c>
      <c r="V348" s="75">
        <v>27.6</v>
      </c>
      <c r="W348" s="75">
        <v>27.68</v>
      </c>
      <c r="X348" s="75">
        <v>5.95</v>
      </c>
      <c r="Y348" s="75">
        <v>5.0199999999999996</v>
      </c>
      <c r="Z348" s="105">
        <v>4.242</v>
      </c>
      <c r="AA348" s="104"/>
      <c r="AF348" s="105"/>
    </row>
    <row r="349" spans="2:32" x14ac:dyDescent="0.3">
      <c r="B349" s="111">
        <v>57.333333333333059</v>
      </c>
      <c r="C349" s="104"/>
      <c r="H349" s="105"/>
      <c r="I349" s="104"/>
      <c r="N349" s="105"/>
      <c r="O349" s="104">
        <v>26.75</v>
      </c>
      <c r="P349" s="75">
        <v>26.895</v>
      </c>
      <c r="Q349" s="75">
        <v>26.867999999999999</v>
      </c>
      <c r="R349" s="75">
        <v>22.34</v>
      </c>
      <c r="S349" s="75">
        <v>22.18</v>
      </c>
      <c r="T349" s="105">
        <v>21.21</v>
      </c>
      <c r="U349" s="104">
        <v>27.61</v>
      </c>
      <c r="V349" s="75">
        <v>27.74</v>
      </c>
      <c r="W349" s="75">
        <v>27.82</v>
      </c>
      <c r="X349" s="75">
        <v>5.91</v>
      </c>
      <c r="Y349" s="75">
        <v>4.9800000000000004</v>
      </c>
      <c r="Z349" s="105">
        <v>4.2220000000000004</v>
      </c>
      <c r="AA349" s="104"/>
      <c r="AF349" s="105"/>
    </row>
    <row r="350" spans="2:32" x14ac:dyDescent="0.3">
      <c r="B350" s="111">
        <v>57.499999999999723</v>
      </c>
      <c r="C350" s="104"/>
      <c r="H350" s="105"/>
      <c r="I350" s="104"/>
      <c r="N350" s="105"/>
      <c r="O350" s="104">
        <v>26.88</v>
      </c>
      <c r="P350" s="75">
        <v>27.024999999999999</v>
      </c>
      <c r="Q350" s="75">
        <v>27.007999999999999</v>
      </c>
      <c r="R350" s="75">
        <v>23.14</v>
      </c>
      <c r="S350" s="75">
        <v>22.49</v>
      </c>
      <c r="T350" s="105">
        <v>22.13</v>
      </c>
      <c r="U350" s="104">
        <v>27.73</v>
      </c>
      <c r="V350" s="75">
        <v>27.91</v>
      </c>
      <c r="W350" s="75">
        <v>27.95</v>
      </c>
      <c r="X350" s="75">
        <v>5.15</v>
      </c>
      <c r="Y350" s="75">
        <v>4.6900000000000004</v>
      </c>
      <c r="Z350" s="105">
        <v>3.9430000000000001</v>
      </c>
      <c r="AA350" s="104"/>
      <c r="AF350" s="105"/>
    </row>
    <row r="351" spans="2:32" x14ac:dyDescent="0.3">
      <c r="B351" s="111">
        <v>57.666666666666387</v>
      </c>
      <c r="C351" s="104"/>
      <c r="H351" s="105"/>
      <c r="I351" s="104"/>
      <c r="N351" s="105"/>
      <c r="O351" s="104">
        <v>27.01</v>
      </c>
      <c r="P351" s="75">
        <v>27.155000000000001</v>
      </c>
      <c r="Q351" s="75">
        <v>27.138000000000002</v>
      </c>
      <c r="R351" s="75">
        <v>23.61</v>
      </c>
      <c r="S351" s="75">
        <v>23.82</v>
      </c>
      <c r="T351" s="105">
        <v>23.81</v>
      </c>
      <c r="U351" s="104">
        <v>27.89</v>
      </c>
      <c r="V351" s="75">
        <v>28.02</v>
      </c>
      <c r="W351" s="75">
        <v>28.1</v>
      </c>
      <c r="X351" s="75">
        <v>5.83</v>
      </c>
      <c r="Y351" s="75">
        <v>4.92</v>
      </c>
      <c r="Z351" s="105">
        <v>4.181</v>
      </c>
      <c r="AA351" s="104"/>
      <c r="AF351" s="105"/>
    </row>
    <row r="352" spans="2:32" x14ac:dyDescent="0.3">
      <c r="B352" s="111">
        <v>57.833333333333051</v>
      </c>
      <c r="C352" s="104"/>
      <c r="H352" s="105"/>
      <c r="I352" s="104"/>
      <c r="N352" s="105"/>
      <c r="O352" s="104">
        <v>27.14</v>
      </c>
      <c r="P352" s="75">
        <v>27.285</v>
      </c>
      <c r="Q352" s="75">
        <v>27.268000000000001</v>
      </c>
      <c r="R352" s="75">
        <v>24.3</v>
      </c>
      <c r="S352" s="75">
        <v>25.23</v>
      </c>
      <c r="T352" s="105">
        <v>23.59</v>
      </c>
      <c r="U352" s="104">
        <v>28.03</v>
      </c>
      <c r="V352" s="75">
        <v>28.16</v>
      </c>
      <c r="W352" s="75">
        <v>28.24</v>
      </c>
      <c r="X352" s="75">
        <v>5.79</v>
      </c>
      <c r="Y352" s="75">
        <v>4.88</v>
      </c>
      <c r="Z352" s="105">
        <v>4.1609999999999996</v>
      </c>
      <c r="AA352" s="104"/>
      <c r="AF352" s="105"/>
    </row>
    <row r="353" spans="2:32" x14ac:dyDescent="0.3">
      <c r="B353" s="111">
        <v>57.999999999999716</v>
      </c>
      <c r="C353" s="104"/>
      <c r="H353" s="105"/>
      <c r="I353" s="104"/>
      <c r="N353" s="105"/>
      <c r="O353" s="104">
        <v>27.29</v>
      </c>
      <c r="P353" s="75">
        <v>27.434999999999999</v>
      </c>
      <c r="Q353" s="75">
        <v>27.398</v>
      </c>
      <c r="R353" s="75">
        <v>25.056000000000001</v>
      </c>
      <c r="S353" s="75">
        <v>25.26</v>
      </c>
      <c r="T353" s="105">
        <v>24.73</v>
      </c>
      <c r="U353" s="104">
        <v>28.21</v>
      </c>
      <c r="V353" s="75">
        <v>28.27</v>
      </c>
      <c r="W353" s="75">
        <v>28.34</v>
      </c>
      <c r="X353" s="75">
        <v>5.93</v>
      </c>
      <c r="Y353" s="75">
        <v>4.9000000000000004</v>
      </c>
      <c r="Z353" s="105">
        <v>4.274</v>
      </c>
      <c r="AA353" s="104"/>
      <c r="AF353" s="105"/>
    </row>
    <row r="354" spans="2:32" x14ac:dyDescent="0.3">
      <c r="B354" s="111">
        <v>58.16666666666638</v>
      </c>
      <c r="C354" s="104"/>
      <c r="H354" s="105"/>
      <c r="I354" s="104"/>
      <c r="N354" s="105"/>
      <c r="O354" s="104">
        <v>27.49</v>
      </c>
      <c r="P354" s="75">
        <v>27.645</v>
      </c>
      <c r="Q354" s="75">
        <v>27.547999999999998</v>
      </c>
      <c r="R354" s="75">
        <v>23</v>
      </c>
      <c r="S354" s="75">
        <v>23.02</v>
      </c>
      <c r="T354" s="105">
        <v>26.13</v>
      </c>
      <c r="U354" s="104">
        <v>28.31</v>
      </c>
      <c r="V354" s="75">
        <v>28.43</v>
      </c>
      <c r="W354" s="75">
        <v>28.52</v>
      </c>
      <c r="X354" s="75">
        <v>5.7</v>
      </c>
      <c r="Y354" s="75">
        <v>4.82</v>
      </c>
      <c r="Z354" s="105">
        <v>4.1210000000000004</v>
      </c>
      <c r="AA354" s="104"/>
      <c r="AF354" s="105"/>
    </row>
    <row r="355" spans="2:32" x14ac:dyDescent="0.3">
      <c r="B355" s="111">
        <v>58.333333333333044</v>
      </c>
      <c r="C355" s="104"/>
      <c r="H355" s="105"/>
      <c r="I355" s="104"/>
      <c r="N355" s="105"/>
      <c r="O355" s="104">
        <v>27.85</v>
      </c>
      <c r="P355" s="75">
        <v>27.945</v>
      </c>
      <c r="Q355" s="75">
        <v>27.748000000000001</v>
      </c>
      <c r="R355" s="75">
        <v>15</v>
      </c>
      <c r="S355" s="75">
        <v>15.1</v>
      </c>
      <c r="T355" s="105">
        <v>23.97</v>
      </c>
      <c r="U355" s="104">
        <v>28.45</v>
      </c>
      <c r="V355" s="75">
        <v>28.57</v>
      </c>
      <c r="W355" s="75">
        <v>28.66</v>
      </c>
      <c r="X355" s="75">
        <v>5.66</v>
      </c>
      <c r="Y355" s="75">
        <v>4.78</v>
      </c>
      <c r="Z355" s="105">
        <v>4.101</v>
      </c>
      <c r="AA355" s="104"/>
      <c r="AF355" s="105"/>
    </row>
    <row r="356" spans="2:32" x14ac:dyDescent="0.3">
      <c r="B356" s="111">
        <v>58.499999999999709</v>
      </c>
      <c r="C356" s="104"/>
      <c r="H356" s="105"/>
      <c r="I356" s="104"/>
      <c r="N356" s="105"/>
      <c r="O356" s="104">
        <v>28.128</v>
      </c>
      <c r="P356" s="75">
        <v>28.273</v>
      </c>
      <c r="Q356" s="75">
        <v>28.058</v>
      </c>
      <c r="R356" s="75">
        <v>8</v>
      </c>
      <c r="S356" s="75">
        <v>7.87</v>
      </c>
      <c r="T356" s="105">
        <v>15.951000000000001</v>
      </c>
      <c r="U356" s="104">
        <v>28.62</v>
      </c>
      <c r="V356" s="75">
        <v>28.75</v>
      </c>
      <c r="W356" s="75">
        <v>28.8</v>
      </c>
      <c r="X356" s="75">
        <v>5.46</v>
      </c>
      <c r="Y356" s="75">
        <v>4.68</v>
      </c>
      <c r="Z356" s="105">
        <v>4.2809999999999997</v>
      </c>
      <c r="AA356" s="104"/>
      <c r="AF356" s="105"/>
    </row>
    <row r="357" spans="2:32" x14ac:dyDescent="0.3">
      <c r="B357" s="111">
        <v>58.666666666666373</v>
      </c>
      <c r="C357" s="104"/>
      <c r="H357" s="105"/>
      <c r="I357" s="104"/>
      <c r="N357" s="105"/>
      <c r="O357" s="104">
        <v>28.492000000000001</v>
      </c>
      <c r="P357" s="75">
        <v>28.637</v>
      </c>
      <c r="Q357" s="75">
        <v>28.385999999999999</v>
      </c>
      <c r="R357" s="75">
        <v>5.5</v>
      </c>
      <c r="S357" s="75">
        <v>5.36</v>
      </c>
      <c r="T357" s="105">
        <v>7.4710000000000001</v>
      </c>
      <c r="U357" s="104">
        <v>28.74</v>
      </c>
      <c r="V357" s="75">
        <v>28.85</v>
      </c>
      <c r="W357" s="75">
        <v>28.94</v>
      </c>
      <c r="X357" s="75">
        <v>5.58</v>
      </c>
      <c r="Y357" s="75">
        <v>4.72</v>
      </c>
      <c r="Z357" s="105">
        <v>4.0609999999999999</v>
      </c>
      <c r="AA357" s="104"/>
      <c r="AF357" s="105"/>
    </row>
    <row r="358" spans="2:32" x14ac:dyDescent="0.3">
      <c r="B358" s="111">
        <v>58.833333333333037</v>
      </c>
      <c r="C358" s="104"/>
      <c r="H358" s="105"/>
      <c r="I358" s="104"/>
      <c r="N358" s="105"/>
      <c r="O358" s="104">
        <v>28.808</v>
      </c>
      <c r="P358" s="75">
        <v>28.952000000000002</v>
      </c>
      <c r="Q358" s="75">
        <v>28.75</v>
      </c>
      <c r="R358" s="75">
        <v>4.0999999999999996</v>
      </c>
      <c r="S358" s="75">
        <v>4.07</v>
      </c>
      <c r="T358" s="105">
        <v>5.3159999999999998</v>
      </c>
      <c r="U358" s="104">
        <v>28.88</v>
      </c>
      <c r="V358" s="75">
        <v>28.99</v>
      </c>
      <c r="W358" s="75">
        <v>29.07</v>
      </c>
      <c r="X358" s="75">
        <v>5.54</v>
      </c>
      <c r="Y358" s="75">
        <v>4.68</v>
      </c>
      <c r="Z358" s="105">
        <v>4.04</v>
      </c>
      <c r="AA358" s="104"/>
      <c r="AF358" s="105"/>
    </row>
    <row r="359" spans="2:32" x14ac:dyDescent="0.3">
      <c r="B359" s="111">
        <v>58.999999999999702</v>
      </c>
      <c r="C359" s="104"/>
      <c r="H359" s="105"/>
      <c r="I359" s="104"/>
      <c r="N359" s="105"/>
      <c r="O359" s="104">
        <v>29.1</v>
      </c>
      <c r="P359" s="75">
        <v>29.245000000000001</v>
      </c>
      <c r="Q359" s="75">
        <v>29.065000000000001</v>
      </c>
      <c r="R359" s="75">
        <v>3.5609999999999999</v>
      </c>
      <c r="S359" s="75">
        <v>3.22</v>
      </c>
      <c r="T359" s="105">
        <v>4.5170000000000003</v>
      </c>
      <c r="U359" s="104">
        <v>28.98</v>
      </c>
      <c r="V359" s="75">
        <v>29.09</v>
      </c>
      <c r="W359" s="75">
        <v>29.23</v>
      </c>
      <c r="X359" s="75">
        <v>5.7</v>
      </c>
      <c r="Y359" s="75">
        <v>4.29</v>
      </c>
      <c r="Z359" s="105">
        <v>3.9009999999999998</v>
      </c>
      <c r="AA359" s="104"/>
      <c r="AF359" s="105"/>
    </row>
    <row r="360" spans="2:32" x14ac:dyDescent="0.3">
      <c r="B360" s="111">
        <v>59.166666666666366</v>
      </c>
      <c r="C360" s="104"/>
      <c r="H360" s="105"/>
      <c r="I360" s="104"/>
      <c r="N360" s="105"/>
      <c r="O360" s="104">
        <v>29.28</v>
      </c>
      <c r="P360" s="75">
        <v>29.425000000000001</v>
      </c>
      <c r="Q360" s="75">
        <v>29.358000000000001</v>
      </c>
      <c r="R360" s="75">
        <v>3.3620000000000001</v>
      </c>
      <c r="S360" s="75">
        <v>3.45</v>
      </c>
      <c r="T360" s="105">
        <v>3.351</v>
      </c>
      <c r="U360" s="104">
        <v>29.16</v>
      </c>
      <c r="V360" s="75">
        <v>29.27</v>
      </c>
      <c r="W360" s="75">
        <v>29.35</v>
      </c>
      <c r="X360" s="75">
        <v>5.46</v>
      </c>
      <c r="Y360" s="75">
        <v>4.62</v>
      </c>
      <c r="Z360" s="105">
        <v>4</v>
      </c>
      <c r="AA360" s="104"/>
      <c r="AF360" s="105"/>
    </row>
    <row r="361" spans="2:32" x14ac:dyDescent="0.3">
      <c r="B361" s="111">
        <v>59.33333333333303</v>
      </c>
      <c r="C361" s="104"/>
      <c r="H361" s="105"/>
      <c r="I361" s="104"/>
      <c r="N361" s="105"/>
      <c r="O361" s="104">
        <v>29.44</v>
      </c>
      <c r="P361" s="75">
        <v>29.585000000000001</v>
      </c>
      <c r="Q361" s="75">
        <v>29.538</v>
      </c>
      <c r="R361" s="75">
        <v>2.6440000000000001</v>
      </c>
      <c r="S361" s="75">
        <v>2.69</v>
      </c>
      <c r="T361" s="105">
        <v>3.266</v>
      </c>
      <c r="U361" s="104">
        <v>29.3</v>
      </c>
      <c r="V361" s="75">
        <v>29.41</v>
      </c>
      <c r="W361" s="75">
        <v>29.49</v>
      </c>
      <c r="X361" s="75">
        <v>5.42</v>
      </c>
      <c r="Y361" s="75">
        <v>4.58</v>
      </c>
      <c r="Z361" s="105">
        <v>3.98</v>
      </c>
      <c r="AA361" s="104"/>
      <c r="AF361" s="105"/>
    </row>
    <row r="362" spans="2:32" x14ac:dyDescent="0.3">
      <c r="B362" s="111">
        <v>59.499999999999694</v>
      </c>
      <c r="C362" s="104"/>
      <c r="H362" s="105"/>
      <c r="I362" s="104"/>
      <c r="N362" s="105"/>
      <c r="O362" s="104">
        <v>29.56</v>
      </c>
      <c r="P362" s="75">
        <v>29.69</v>
      </c>
      <c r="Q362" s="75">
        <v>29.63</v>
      </c>
      <c r="R362" s="75">
        <v>2.6549999999999998</v>
      </c>
      <c r="S362" s="75">
        <v>2.6379999999999999</v>
      </c>
      <c r="T362" s="105">
        <v>3.2440000000000002</v>
      </c>
      <c r="U362" s="104">
        <v>29.44</v>
      </c>
      <c r="V362" s="75">
        <v>29.53</v>
      </c>
      <c r="W362" s="75">
        <v>29.63</v>
      </c>
      <c r="X362" s="75">
        <v>5.58</v>
      </c>
      <c r="Y362" s="75">
        <v>4.9800000000000004</v>
      </c>
      <c r="Z362" s="105">
        <v>3.8620000000000001</v>
      </c>
      <c r="AA362" s="104"/>
      <c r="AF362" s="105"/>
    </row>
    <row r="363" spans="2:32" x14ac:dyDescent="0.3">
      <c r="B363" s="111">
        <v>59.666666666666359</v>
      </c>
      <c r="C363" s="104"/>
      <c r="H363" s="105"/>
      <c r="I363" s="104"/>
      <c r="N363" s="105"/>
      <c r="O363" s="104">
        <v>29.69</v>
      </c>
      <c r="P363" s="75">
        <v>29.82</v>
      </c>
      <c r="Q363" s="75">
        <v>29.76</v>
      </c>
      <c r="R363" s="75">
        <v>2.7930000000000001</v>
      </c>
      <c r="S363" s="75">
        <v>2.859</v>
      </c>
      <c r="T363" s="105">
        <v>3.2120000000000002</v>
      </c>
      <c r="U363" s="104">
        <v>29.58</v>
      </c>
      <c r="V363" s="75">
        <v>29.69</v>
      </c>
      <c r="W363" s="75">
        <v>29.77</v>
      </c>
      <c r="X363" s="75">
        <v>5.34</v>
      </c>
      <c r="Y363" s="75">
        <v>4.5199999999999996</v>
      </c>
      <c r="Z363" s="105">
        <v>3.94</v>
      </c>
      <c r="AA363" s="104"/>
      <c r="AF363" s="105"/>
    </row>
    <row r="364" spans="2:32" x14ac:dyDescent="0.3">
      <c r="B364" s="111">
        <v>59.833333333333023</v>
      </c>
      <c r="C364" s="104"/>
      <c r="H364" s="105"/>
      <c r="I364" s="104"/>
      <c r="N364" s="105"/>
      <c r="O364" s="104">
        <v>29.83</v>
      </c>
      <c r="P364" s="75">
        <v>29.97</v>
      </c>
      <c r="Q364" s="75">
        <v>29.89</v>
      </c>
      <c r="R364" s="75">
        <v>2.8879999999999999</v>
      </c>
      <c r="S364" s="75">
        <v>2.9420000000000002</v>
      </c>
      <c r="T364" s="105">
        <v>3.1749999999999998</v>
      </c>
      <c r="U364" s="104">
        <v>29.72</v>
      </c>
      <c r="V364" s="75">
        <v>29.83</v>
      </c>
      <c r="W364" s="75">
        <v>29.91</v>
      </c>
      <c r="X364" s="75">
        <v>5.29</v>
      </c>
      <c r="Y364" s="75">
        <v>4.4800000000000004</v>
      </c>
      <c r="Z364" s="105">
        <v>3.92</v>
      </c>
      <c r="AA364" s="104"/>
      <c r="AF364" s="105"/>
    </row>
    <row r="365" spans="2:32" x14ac:dyDescent="0.3">
      <c r="B365" s="111">
        <v>59.999999999999687</v>
      </c>
      <c r="C365" s="104"/>
      <c r="H365" s="105"/>
      <c r="I365" s="104"/>
      <c r="N365" s="105"/>
      <c r="O365" s="104">
        <v>29.97</v>
      </c>
      <c r="P365" s="75">
        <v>30.12</v>
      </c>
      <c r="Q365" s="75">
        <v>30.04</v>
      </c>
      <c r="R365" s="75">
        <v>2.915</v>
      </c>
      <c r="S365" s="75">
        <v>3.0640000000000001</v>
      </c>
      <c r="T365" s="105">
        <v>3.2210000000000001</v>
      </c>
      <c r="U365" s="104">
        <v>29.84</v>
      </c>
      <c r="V365" s="75">
        <v>30.01</v>
      </c>
      <c r="W365" s="75">
        <v>30.03</v>
      </c>
      <c r="X365" s="75">
        <v>4.84</v>
      </c>
      <c r="Y365" s="75">
        <v>4.18</v>
      </c>
      <c r="Z365" s="105">
        <v>3.8919999999999999</v>
      </c>
      <c r="AA365" s="104"/>
      <c r="AF365" s="105"/>
    </row>
    <row r="366" spans="2:32" x14ac:dyDescent="0.3">
      <c r="B366" s="111">
        <v>60.166666666666352</v>
      </c>
      <c r="C366" s="104"/>
      <c r="H366" s="105"/>
      <c r="I366" s="104"/>
      <c r="N366" s="105"/>
      <c r="O366" s="104">
        <v>30.14</v>
      </c>
      <c r="P366" s="75">
        <v>30.29</v>
      </c>
      <c r="Q366" s="75">
        <v>30.21</v>
      </c>
      <c r="R366" s="75">
        <v>3.2759999999999998</v>
      </c>
      <c r="S366" s="75">
        <v>3.484</v>
      </c>
      <c r="T366" s="105">
        <v>2.2410000000000001</v>
      </c>
      <c r="U366" s="104">
        <v>30</v>
      </c>
      <c r="V366" s="75">
        <v>30.1</v>
      </c>
      <c r="W366" s="75">
        <v>30.19</v>
      </c>
      <c r="X366" s="75">
        <v>5.21</v>
      </c>
      <c r="Y366" s="75">
        <v>4.42</v>
      </c>
      <c r="Z366" s="105">
        <v>3.879</v>
      </c>
      <c r="AA366" s="104"/>
      <c r="AF366" s="105"/>
    </row>
    <row r="367" spans="2:32" x14ac:dyDescent="0.3">
      <c r="B367" s="111">
        <v>60.333333333333016</v>
      </c>
      <c r="C367" s="104"/>
      <c r="H367" s="105"/>
      <c r="I367" s="104"/>
      <c r="N367" s="105"/>
      <c r="O367" s="104">
        <v>30.29</v>
      </c>
      <c r="P367" s="75">
        <v>30.44</v>
      </c>
      <c r="Q367" s="75">
        <v>30.36</v>
      </c>
      <c r="R367" s="75">
        <v>3.4820000000000002</v>
      </c>
      <c r="S367" s="75">
        <v>3.6339999999999999</v>
      </c>
      <c r="T367" s="105">
        <v>3.274</v>
      </c>
      <c r="U367" s="104">
        <v>30.14</v>
      </c>
      <c r="V367" s="75">
        <v>30.24</v>
      </c>
      <c r="W367" s="75">
        <v>30.33</v>
      </c>
      <c r="X367" s="75">
        <v>5.17</v>
      </c>
      <c r="Y367" s="75">
        <v>4.38</v>
      </c>
      <c r="Z367" s="105">
        <v>3.859</v>
      </c>
      <c r="AA367" s="104"/>
      <c r="AF367" s="105"/>
    </row>
    <row r="368" spans="2:32" x14ac:dyDescent="0.3">
      <c r="B368" s="111">
        <v>60.49999999999968</v>
      </c>
      <c r="C368" s="104"/>
      <c r="H368" s="105"/>
      <c r="I368" s="104"/>
      <c r="N368" s="105"/>
      <c r="O368" s="104">
        <v>30.44</v>
      </c>
      <c r="P368" s="75">
        <v>30.57</v>
      </c>
      <c r="Q368" s="75">
        <v>30.5</v>
      </c>
      <c r="R368" s="75">
        <v>3.7810000000000001</v>
      </c>
      <c r="S368" s="75">
        <v>3.85</v>
      </c>
      <c r="T368" s="105">
        <v>3.7120000000000002</v>
      </c>
      <c r="U368" s="104">
        <v>30.28</v>
      </c>
      <c r="V368" s="75">
        <v>30.37</v>
      </c>
      <c r="W368" s="75">
        <v>30.47</v>
      </c>
      <c r="X368" s="75">
        <v>5.03</v>
      </c>
      <c r="Y368" s="75">
        <v>4.63</v>
      </c>
      <c r="Z368" s="105">
        <v>4.0110000000000001</v>
      </c>
      <c r="AA368" s="104"/>
      <c r="AF368" s="105"/>
    </row>
    <row r="369" spans="2:32" x14ac:dyDescent="0.3">
      <c r="B369" s="111">
        <v>60.666666666666345</v>
      </c>
      <c r="C369" s="104"/>
      <c r="H369" s="105"/>
      <c r="I369" s="104"/>
      <c r="N369" s="105"/>
      <c r="O369" s="104">
        <v>30.59</v>
      </c>
      <c r="P369" s="75">
        <v>30.71</v>
      </c>
      <c r="Q369" s="75">
        <v>30.64</v>
      </c>
      <c r="R369" s="75">
        <v>3.5590000000000002</v>
      </c>
      <c r="S369" s="75">
        <v>3.5470000000000002</v>
      </c>
      <c r="T369" s="105">
        <v>3.2069999999999999</v>
      </c>
      <c r="U369" s="104">
        <v>30.42</v>
      </c>
      <c r="V369" s="75">
        <v>30.52</v>
      </c>
      <c r="W369" s="75">
        <v>30.61</v>
      </c>
      <c r="X369" s="75">
        <v>5.2190000000000003</v>
      </c>
      <c r="Y369" s="75">
        <v>4.32</v>
      </c>
      <c r="Z369" s="105">
        <v>3.6619999999999999</v>
      </c>
      <c r="AA369" s="104"/>
      <c r="AF369" s="105"/>
    </row>
    <row r="370" spans="2:32" x14ac:dyDescent="0.3">
      <c r="B370" s="111">
        <v>60.833333333333009</v>
      </c>
      <c r="C370" s="104"/>
      <c r="H370" s="105"/>
      <c r="I370" s="104"/>
      <c r="N370" s="105"/>
      <c r="O370" s="104">
        <v>30.72</v>
      </c>
      <c r="P370" s="75">
        <v>30.86</v>
      </c>
      <c r="Q370" s="75">
        <v>30.79</v>
      </c>
      <c r="R370" s="75">
        <v>3.4750000000000001</v>
      </c>
      <c r="S370" s="75">
        <v>3.2050000000000001</v>
      </c>
      <c r="T370" s="105">
        <v>3.258</v>
      </c>
      <c r="U370" s="104">
        <v>30.56</v>
      </c>
      <c r="V370" s="75">
        <v>30.66</v>
      </c>
      <c r="W370" s="75">
        <v>30.75</v>
      </c>
      <c r="X370" s="75">
        <v>4.8609999999999998</v>
      </c>
      <c r="Y370" s="75">
        <v>4.29</v>
      </c>
      <c r="Z370" s="105">
        <v>3.6779999999999999</v>
      </c>
      <c r="AA370" s="104"/>
      <c r="AF370" s="105"/>
    </row>
    <row r="371" spans="2:32" x14ac:dyDescent="0.3">
      <c r="B371" s="111">
        <v>60.999999999999673</v>
      </c>
      <c r="C371" s="104"/>
      <c r="H371" s="105"/>
      <c r="I371" s="104"/>
      <c r="N371" s="105"/>
      <c r="O371" s="104">
        <v>30.86</v>
      </c>
      <c r="P371" s="75">
        <v>31</v>
      </c>
      <c r="Q371" s="75">
        <v>30.93</v>
      </c>
      <c r="R371" s="75">
        <v>3.504</v>
      </c>
      <c r="S371" s="75">
        <v>3.3730000000000002</v>
      </c>
      <c r="T371" s="105">
        <v>3.2349999999999999</v>
      </c>
      <c r="U371" s="104">
        <v>30.69</v>
      </c>
      <c r="V371" s="75">
        <v>30.76</v>
      </c>
      <c r="W371" s="75">
        <v>30.89</v>
      </c>
      <c r="X371" s="75">
        <v>4.6859999999999999</v>
      </c>
      <c r="Y371" s="75">
        <v>4.59</v>
      </c>
      <c r="Z371" s="105">
        <v>3.7469999999999999</v>
      </c>
      <c r="AA371" s="104"/>
      <c r="AF371" s="105"/>
    </row>
    <row r="372" spans="2:32" x14ac:dyDescent="0.3">
      <c r="B372" s="111">
        <v>61.166666666666337</v>
      </c>
      <c r="C372" s="104"/>
      <c r="H372" s="105"/>
      <c r="I372" s="104"/>
      <c r="N372" s="105"/>
      <c r="O372" s="104">
        <v>31</v>
      </c>
      <c r="P372" s="75">
        <v>31.15</v>
      </c>
      <c r="Q372" s="75">
        <v>31.08</v>
      </c>
      <c r="R372" s="75">
        <v>3.407</v>
      </c>
      <c r="S372" s="75">
        <v>3.5529999999999999</v>
      </c>
      <c r="T372" s="105">
        <v>3.101</v>
      </c>
      <c r="U372" s="104">
        <v>30.82</v>
      </c>
      <c r="V372" s="75">
        <v>30.95</v>
      </c>
      <c r="W372" s="75">
        <v>31.03</v>
      </c>
      <c r="X372" s="75">
        <v>4.8280000000000003</v>
      </c>
      <c r="Y372" s="75">
        <v>4.5970000000000004</v>
      </c>
      <c r="Z372" s="105">
        <v>3.9329999999999998</v>
      </c>
      <c r="AA372" s="104"/>
      <c r="AF372" s="105"/>
    </row>
    <row r="373" spans="2:32" x14ac:dyDescent="0.3">
      <c r="B373" s="111">
        <v>61.333333333333002</v>
      </c>
      <c r="C373" s="104"/>
      <c r="H373" s="105"/>
      <c r="I373" s="104"/>
      <c r="N373" s="105"/>
      <c r="O373" s="104">
        <v>31.16</v>
      </c>
      <c r="P373" s="75">
        <v>31.31</v>
      </c>
      <c r="Q373" s="75">
        <v>31.23</v>
      </c>
      <c r="R373" s="75">
        <v>3.7810000000000001</v>
      </c>
      <c r="S373" s="75">
        <v>3.2440000000000002</v>
      </c>
      <c r="T373" s="105">
        <v>3.1859999999999999</v>
      </c>
      <c r="U373" s="104">
        <v>30.95</v>
      </c>
      <c r="V373" s="75">
        <v>31.1</v>
      </c>
      <c r="W373" s="75">
        <v>31.19</v>
      </c>
      <c r="X373" s="75">
        <v>4.7919999999999998</v>
      </c>
      <c r="Y373" s="75">
        <v>4.79</v>
      </c>
      <c r="Z373" s="105">
        <v>3.95</v>
      </c>
      <c r="AA373" s="104"/>
      <c r="AF373" s="105"/>
    </row>
    <row r="374" spans="2:32" x14ac:dyDescent="0.3">
      <c r="B374" s="111">
        <v>61.499999999999666</v>
      </c>
      <c r="C374" s="104"/>
      <c r="H374" s="105"/>
      <c r="I374" s="104"/>
      <c r="N374" s="105"/>
      <c r="O374" s="104">
        <v>31.32</v>
      </c>
      <c r="P374" s="75">
        <v>31.46</v>
      </c>
      <c r="Q374" s="75">
        <v>31.4</v>
      </c>
      <c r="R374" s="75">
        <v>3.9329999999999998</v>
      </c>
      <c r="S374" s="75">
        <v>3.472</v>
      </c>
      <c r="T374" s="105">
        <v>3.319</v>
      </c>
      <c r="U374" s="104">
        <v>31.1</v>
      </c>
      <c r="V374" s="75">
        <v>31.24</v>
      </c>
      <c r="W374" s="75">
        <v>31.34</v>
      </c>
      <c r="X374" s="75">
        <v>5.0270000000000001</v>
      </c>
      <c r="Y374" s="75">
        <v>4.3639999999999999</v>
      </c>
      <c r="Z374" s="105">
        <v>3.7080000000000002</v>
      </c>
      <c r="AA374" s="104"/>
      <c r="AF374" s="105"/>
    </row>
    <row r="375" spans="2:32" x14ac:dyDescent="0.3">
      <c r="B375" s="111">
        <v>61.66666666666633</v>
      </c>
      <c r="C375" s="104"/>
      <c r="H375" s="105"/>
      <c r="I375" s="104"/>
      <c r="N375" s="105"/>
      <c r="O375" s="104">
        <v>31.47</v>
      </c>
      <c r="P375" s="75">
        <v>31.61</v>
      </c>
      <c r="Q375" s="75">
        <v>31.55</v>
      </c>
      <c r="R375" s="75">
        <v>3.6760000000000002</v>
      </c>
      <c r="S375" s="75">
        <v>3.6389999999999998</v>
      </c>
      <c r="T375" s="105">
        <v>3.31</v>
      </c>
      <c r="U375" s="104">
        <v>31.25</v>
      </c>
      <c r="V375" s="75">
        <v>31.39</v>
      </c>
      <c r="W375" s="75">
        <v>31.47</v>
      </c>
      <c r="X375" s="75">
        <v>4.7910000000000004</v>
      </c>
      <c r="Y375" s="75">
        <v>4.601</v>
      </c>
      <c r="Z375" s="105">
        <v>3.4079999999999999</v>
      </c>
      <c r="AA375" s="104"/>
      <c r="AF375" s="105"/>
    </row>
    <row r="376" spans="2:32" x14ac:dyDescent="0.3">
      <c r="B376" s="111">
        <v>61.833333333332995</v>
      </c>
      <c r="C376" s="104"/>
      <c r="H376" s="105"/>
      <c r="I376" s="104"/>
      <c r="N376" s="105"/>
      <c r="O376" s="104">
        <v>31.62</v>
      </c>
      <c r="P376" s="75">
        <v>31.76</v>
      </c>
      <c r="Q376" s="75">
        <v>31.68</v>
      </c>
      <c r="R376" s="75">
        <v>3.383</v>
      </c>
      <c r="S376" s="75">
        <v>3.444</v>
      </c>
      <c r="T376" s="105">
        <v>2.964</v>
      </c>
      <c r="U376" s="104">
        <v>31.39</v>
      </c>
      <c r="V376" s="75">
        <v>31.53</v>
      </c>
      <c r="W376" s="75">
        <v>31.6</v>
      </c>
      <c r="X376" s="75">
        <v>4.7549999999999999</v>
      </c>
      <c r="Y376" s="75">
        <v>4.3529999999999998</v>
      </c>
      <c r="Z376" s="105">
        <v>3.2970000000000002</v>
      </c>
      <c r="AA376" s="104"/>
      <c r="AF376" s="105"/>
    </row>
    <row r="377" spans="2:32" x14ac:dyDescent="0.3">
      <c r="B377" s="111">
        <v>61.999999999999659</v>
      </c>
      <c r="C377" s="104"/>
      <c r="H377" s="105"/>
      <c r="I377" s="104"/>
      <c r="N377" s="105"/>
      <c r="O377" s="104">
        <v>31.76</v>
      </c>
      <c r="P377" s="75">
        <v>31.91</v>
      </c>
      <c r="Q377" s="75">
        <v>31.82</v>
      </c>
      <c r="R377" s="75">
        <v>3.35</v>
      </c>
      <c r="S377" s="75">
        <v>3.59</v>
      </c>
      <c r="T377" s="105">
        <v>3.0419999999999998</v>
      </c>
      <c r="U377" s="104">
        <v>31.54</v>
      </c>
      <c r="V377" s="75">
        <v>31.68</v>
      </c>
      <c r="W377" s="75">
        <v>31.74</v>
      </c>
      <c r="X377" s="75">
        <v>4.702</v>
      </c>
      <c r="Y377" s="75">
        <v>4.4219999999999997</v>
      </c>
      <c r="Z377" s="105">
        <v>3.488</v>
      </c>
      <c r="AA377" s="104"/>
      <c r="AF377" s="105"/>
    </row>
    <row r="378" spans="2:32" x14ac:dyDescent="0.3">
      <c r="B378" s="111">
        <v>62.166666666666323</v>
      </c>
      <c r="C378" s="104"/>
      <c r="H378" s="105"/>
      <c r="I378" s="104"/>
      <c r="N378" s="105"/>
      <c r="O378" s="104">
        <v>31.9</v>
      </c>
      <c r="P378" s="75">
        <v>32.049999999999997</v>
      </c>
      <c r="Q378" s="75">
        <v>31.97</v>
      </c>
      <c r="R378" s="75">
        <v>3.415</v>
      </c>
      <c r="S378" s="75">
        <v>3.55</v>
      </c>
      <c r="T378" s="105">
        <v>3.3420000000000001</v>
      </c>
      <c r="U378" s="104">
        <v>31.68</v>
      </c>
      <c r="V378" s="75">
        <v>31.82</v>
      </c>
      <c r="W378" s="75">
        <v>31.88</v>
      </c>
      <c r="X378" s="75">
        <v>4.7169999999999996</v>
      </c>
      <c r="Y378" s="75">
        <v>4.2919999999999998</v>
      </c>
      <c r="Z378" s="105">
        <v>3.3740000000000001</v>
      </c>
      <c r="AA378" s="104"/>
      <c r="AF378" s="105"/>
    </row>
    <row r="379" spans="2:32" x14ac:dyDescent="0.3">
      <c r="B379" s="111">
        <v>62.333333333332988</v>
      </c>
      <c r="C379" s="104"/>
      <c r="H379" s="105"/>
      <c r="I379" s="104"/>
      <c r="N379" s="105"/>
      <c r="O379" s="104">
        <v>32.049999999999997</v>
      </c>
      <c r="P379" s="75">
        <v>32.200000000000003</v>
      </c>
      <c r="Q379" s="75">
        <v>32.119999999999997</v>
      </c>
      <c r="R379" s="75">
        <v>3.33</v>
      </c>
      <c r="S379" s="75">
        <v>3.5840000000000001</v>
      </c>
      <c r="T379" s="105">
        <v>3.1640000000000001</v>
      </c>
      <c r="U379" s="104">
        <v>31.82</v>
      </c>
      <c r="V379" s="75">
        <v>31.96</v>
      </c>
      <c r="W379" s="75">
        <v>32.03</v>
      </c>
      <c r="X379" s="75">
        <v>4.6870000000000003</v>
      </c>
      <c r="Y379" s="75">
        <v>4.3849999999999998</v>
      </c>
      <c r="Z379" s="105">
        <v>3.476</v>
      </c>
      <c r="AA379" s="104"/>
      <c r="AF379" s="105"/>
    </row>
    <row r="380" spans="2:32" x14ac:dyDescent="0.3">
      <c r="B380" s="111">
        <v>62.499999999999652</v>
      </c>
      <c r="C380" s="104"/>
      <c r="H380" s="105"/>
      <c r="I380" s="104"/>
      <c r="N380" s="105"/>
      <c r="O380" s="104">
        <v>32.200000000000003</v>
      </c>
      <c r="P380" s="75">
        <v>32.369999999999997</v>
      </c>
      <c r="Q380" s="75">
        <v>32.26</v>
      </c>
      <c r="R380" s="75">
        <v>3.367</v>
      </c>
      <c r="S380" s="75">
        <v>3.9239999999999999</v>
      </c>
      <c r="T380" s="105">
        <v>3.3130000000000002</v>
      </c>
      <c r="U380" s="104">
        <v>31.97</v>
      </c>
      <c r="V380" s="75">
        <v>32.11</v>
      </c>
      <c r="W380" s="75">
        <v>32.18</v>
      </c>
      <c r="X380" s="75">
        <v>4.5460000000000003</v>
      </c>
      <c r="Y380" s="75">
        <v>4.657</v>
      </c>
      <c r="Z380" s="105">
        <v>3.8639999999999999</v>
      </c>
      <c r="AA380" s="104"/>
      <c r="AF380" s="105"/>
    </row>
    <row r="381" spans="2:32" x14ac:dyDescent="0.3">
      <c r="B381" s="111">
        <v>62.666666666666316</v>
      </c>
      <c r="C381" s="104"/>
      <c r="H381" s="105"/>
      <c r="I381" s="104"/>
      <c r="N381" s="105"/>
      <c r="O381" s="104">
        <v>32.36</v>
      </c>
      <c r="P381" s="75">
        <v>32.51</v>
      </c>
      <c r="Q381" s="75">
        <v>32.44</v>
      </c>
      <c r="R381" s="75">
        <v>3.9489999999999998</v>
      </c>
      <c r="S381" s="75">
        <v>3.641</v>
      </c>
      <c r="T381" s="105">
        <v>3.8940000000000001</v>
      </c>
      <c r="U381" s="104">
        <v>32.119999999999997</v>
      </c>
      <c r="V381" s="75">
        <v>32.26</v>
      </c>
      <c r="W381" s="75">
        <v>32.340000000000003</v>
      </c>
      <c r="X381" s="75">
        <v>5.1360000000000001</v>
      </c>
      <c r="Y381" s="75">
        <v>4.4050000000000002</v>
      </c>
      <c r="Z381" s="105">
        <v>3.7309999999999999</v>
      </c>
      <c r="AA381" s="104"/>
      <c r="AF381" s="105"/>
    </row>
    <row r="382" spans="2:32" x14ac:dyDescent="0.3">
      <c r="B382" s="111">
        <v>62.83333333333298</v>
      </c>
      <c r="C382" s="104"/>
      <c r="H382" s="105"/>
      <c r="I382" s="104"/>
      <c r="N382" s="105"/>
      <c r="O382" s="104">
        <v>32.51</v>
      </c>
      <c r="P382" s="75">
        <v>32.659999999999997</v>
      </c>
      <c r="Q382" s="75">
        <v>32.6</v>
      </c>
      <c r="R382" s="75">
        <v>3.4380000000000002</v>
      </c>
      <c r="S382" s="75">
        <v>3.5470000000000002</v>
      </c>
      <c r="T382" s="105">
        <v>3.706</v>
      </c>
      <c r="U382" s="104">
        <v>32.270000000000003</v>
      </c>
      <c r="V382" s="75">
        <v>32.4</v>
      </c>
      <c r="W382" s="75">
        <v>32.49</v>
      </c>
      <c r="X382" s="75">
        <v>4.8090000000000002</v>
      </c>
      <c r="Y382" s="75">
        <v>4.29</v>
      </c>
      <c r="Z382" s="105">
        <v>3.5489999999999999</v>
      </c>
      <c r="AA382" s="104"/>
      <c r="AF382" s="105"/>
    </row>
    <row r="383" spans="2:32" x14ac:dyDescent="0.3">
      <c r="B383" s="111">
        <v>62.999999999999645</v>
      </c>
      <c r="C383" s="104"/>
      <c r="H383" s="105"/>
      <c r="I383" s="104"/>
      <c r="N383" s="105"/>
      <c r="O383" s="104">
        <v>32.659999999999997</v>
      </c>
      <c r="P383" s="75">
        <v>33.869999999999997</v>
      </c>
      <c r="Q383" s="75">
        <v>32.75</v>
      </c>
      <c r="R383" s="75">
        <v>3.5659999999999998</v>
      </c>
      <c r="S383" s="75">
        <v>3.5940000000000003</v>
      </c>
      <c r="T383" s="105">
        <v>3.621</v>
      </c>
      <c r="U383" s="104">
        <v>32.42</v>
      </c>
      <c r="V383" s="75">
        <v>33.31</v>
      </c>
      <c r="W383" s="75">
        <v>33.42</v>
      </c>
      <c r="X383" s="75">
        <v>4.7309999999999999</v>
      </c>
      <c r="Y383" s="75">
        <v>4.3099999999999996</v>
      </c>
      <c r="Z383" s="105">
        <v>3.476</v>
      </c>
      <c r="AA383" s="104"/>
      <c r="AF383" s="105"/>
    </row>
    <row r="384" spans="2:32" x14ac:dyDescent="0.3">
      <c r="B384" s="111">
        <v>63.166666666666309</v>
      </c>
      <c r="C384" s="104"/>
      <c r="H384" s="105"/>
      <c r="I384" s="104"/>
      <c r="N384" s="105"/>
      <c r="O384" s="104">
        <v>33.94</v>
      </c>
      <c r="P384" s="75">
        <v>34.96</v>
      </c>
      <c r="Q384" s="75">
        <v>34.090000000000003</v>
      </c>
      <c r="R384" s="75">
        <v>3.1560000000000001</v>
      </c>
      <c r="S384" s="75">
        <v>2.94</v>
      </c>
      <c r="T384" s="105">
        <v>3.5209999999999999</v>
      </c>
      <c r="U384" s="104">
        <v>33.36</v>
      </c>
      <c r="V384" s="75">
        <v>34.32</v>
      </c>
      <c r="W384" s="75">
        <v>34.409999999999997</v>
      </c>
      <c r="X384" s="75">
        <v>4.2110000000000003</v>
      </c>
      <c r="Y384" s="75">
        <v>4.1230000000000002</v>
      </c>
      <c r="Z384" s="105">
        <v>3.8639999999999999</v>
      </c>
      <c r="AA384" s="104"/>
      <c r="AF384" s="105"/>
    </row>
    <row r="385" spans="2:32" x14ac:dyDescent="0.3">
      <c r="B385" s="111">
        <v>63.333333333332973</v>
      </c>
      <c r="C385" s="104"/>
      <c r="H385" s="105"/>
      <c r="I385" s="104"/>
      <c r="N385" s="105"/>
      <c r="O385" s="104">
        <v>34.979999999999997</v>
      </c>
      <c r="P385" s="75">
        <v>35.479999999999997</v>
      </c>
      <c r="Q385" s="75">
        <v>35.1</v>
      </c>
      <c r="R385" s="75">
        <v>2.5089999999999999</v>
      </c>
      <c r="S385" s="75">
        <v>2.48</v>
      </c>
      <c r="T385" s="105">
        <v>2.343</v>
      </c>
      <c r="U385" s="104">
        <v>34.35</v>
      </c>
      <c r="V385" s="75">
        <v>34.89</v>
      </c>
      <c r="W385" s="75">
        <v>34.979999999999997</v>
      </c>
      <c r="X385" s="75">
        <v>3.7509999999999999</v>
      </c>
      <c r="Y385" s="75">
        <v>3.9</v>
      </c>
      <c r="Z385" s="105">
        <v>3.1254999999999997</v>
      </c>
      <c r="AA385" s="104"/>
      <c r="AF385" s="105"/>
    </row>
    <row r="386" spans="2:32" x14ac:dyDescent="0.3">
      <c r="B386" s="111">
        <v>63.499999999999638</v>
      </c>
      <c r="C386" s="104"/>
      <c r="H386" s="105"/>
      <c r="I386" s="104"/>
      <c r="N386" s="105"/>
      <c r="O386" s="104">
        <v>35.46</v>
      </c>
      <c r="P386" s="75">
        <v>35.9</v>
      </c>
      <c r="Q386" s="75">
        <v>35.61</v>
      </c>
      <c r="R386" s="75">
        <v>2.202</v>
      </c>
      <c r="S386" s="75">
        <v>2.282</v>
      </c>
      <c r="T386" s="105">
        <v>1.738</v>
      </c>
      <c r="U386" s="104">
        <v>34.869999999999997</v>
      </c>
      <c r="V386" s="75">
        <v>35.35</v>
      </c>
      <c r="W386" s="75">
        <v>35.44</v>
      </c>
      <c r="X386" s="75">
        <v>3.1160000000000001</v>
      </c>
      <c r="Y386" s="75">
        <v>3.214</v>
      </c>
      <c r="Z386" s="105">
        <v>2.4649999999999999</v>
      </c>
      <c r="AA386" s="104"/>
      <c r="AF386" s="105"/>
    </row>
    <row r="387" spans="2:32" x14ac:dyDescent="0.3">
      <c r="B387" s="111">
        <v>63.666666666666302</v>
      </c>
      <c r="C387" s="104"/>
      <c r="H387" s="105"/>
      <c r="I387" s="104"/>
      <c r="N387" s="105"/>
      <c r="O387" s="104">
        <v>35.86</v>
      </c>
      <c r="P387" s="75">
        <v>36.28</v>
      </c>
      <c r="Q387" s="75">
        <v>36.04</v>
      </c>
      <c r="R387" s="75">
        <v>1.6279999999999999</v>
      </c>
      <c r="S387" s="75">
        <v>1.4570000000000001</v>
      </c>
      <c r="T387" s="105">
        <v>1.3280000000000001</v>
      </c>
      <c r="U387" s="104">
        <v>35.29</v>
      </c>
      <c r="V387" s="75">
        <v>35.76</v>
      </c>
      <c r="W387" s="75">
        <v>35.85</v>
      </c>
      <c r="X387" s="75">
        <v>2.5630000000000002</v>
      </c>
      <c r="Y387" s="75">
        <v>2.6139999999999999</v>
      </c>
      <c r="Z387" s="105">
        <v>1.8884999999999998</v>
      </c>
      <c r="AA387" s="104"/>
      <c r="AF387" s="105"/>
    </row>
    <row r="388" spans="2:32" x14ac:dyDescent="0.3">
      <c r="B388" s="111">
        <v>63.833333333332966</v>
      </c>
      <c r="C388" s="104"/>
      <c r="H388" s="105"/>
      <c r="I388" s="104"/>
      <c r="N388" s="105"/>
      <c r="O388" s="104">
        <v>36.229999999999997</v>
      </c>
      <c r="P388" s="75">
        <v>36.57</v>
      </c>
      <c r="Q388" s="75">
        <v>36.44</v>
      </c>
      <c r="R388" s="75">
        <v>1.002</v>
      </c>
      <c r="S388" s="75">
        <v>1.246</v>
      </c>
      <c r="T388" s="105">
        <v>0.77100000000000002</v>
      </c>
      <c r="U388" s="104">
        <v>35.68</v>
      </c>
      <c r="V388" s="75">
        <v>36.090000000000003</v>
      </c>
      <c r="W388" s="75">
        <v>36.21</v>
      </c>
      <c r="X388" s="75">
        <v>1.6759999999999999</v>
      </c>
      <c r="Y388" s="75">
        <v>1.512</v>
      </c>
      <c r="Z388" s="105">
        <v>0.89399999999999991</v>
      </c>
      <c r="AA388" s="104"/>
      <c r="AF388" s="105"/>
    </row>
    <row r="389" spans="2:32" x14ac:dyDescent="0.3">
      <c r="B389" s="111">
        <v>63.999999999999631</v>
      </c>
      <c r="C389" s="104"/>
      <c r="H389" s="105"/>
      <c r="I389" s="104"/>
      <c r="N389" s="105"/>
      <c r="O389" s="104">
        <v>36.54</v>
      </c>
      <c r="P389" s="75">
        <v>36.82</v>
      </c>
      <c r="Q389" s="75">
        <v>36.76</v>
      </c>
      <c r="R389" s="75">
        <v>0.378</v>
      </c>
      <c r="S389" s="75">
        <v>0.25700000000000001</v>
      </c>
      <c r="T389" s="105">
        <v>0.373</v>
      </c>
      <c r="U389" s="104">
        <v>36.01</v>
      </c>
      <c r="V389" s="75">
        <v>36.36</v>
      </c>
      <c r="W389" s="75">
        <v>36.369999999999997</v>
      </c>
      <c r="X389" s="75">
        <v>1.151</v>
      </c>
      <c r="Y389" s="75">
        <v>0.99099999999999999</v>
      </c>
      <c r="Z389" s="105">
        <v>0.371</v>
      </c>
      <c r="AA389" s="104"/>
      <c r="AF389" s="105"/>
    </row>
    <row r="390" spans="2:32" x14ac:dyDescent="0.3">
      <c r="B390" s="111">
        <v>64.166666666666302</v>
      </c>
      <c r="C390" s="104"/>
      <c r="H390" s="105"/>
      <c r="I390" s="104"/>
      <c r="N390" s="105"/>
      <c r="O390" s="104">
        <v>36.53</v>
      </c>
      <c r="P390" s="75">
        <v>36.799999999999997</v>
      </c>
      <c r="Q390" s="75">
        <v>36.75</v>
      </c>
      <c r="R390" s="75">
        <v>8.1000000000000003E-2</v>
      </c>
      <c r="S390" s="75">
        <v>0.13600000000000001</v>
      </c>
      <c r="T390" s="105">
        <v>-0.183</v>
      </c>
      <c r="U390" s="104">
        <v>36.18</v>
      </c>
      <c r="V390" s="75">
        <v>36.43</v>
      </c>
      <c r="W390" s="75">
        <v>36.43</v>
      </c>
      <c r="X390" s="75">
        <v>0.43099999999999999</v>
      </c>
      <c r="Y390" s="75">
        <v>0.51900000000000002</v>
      </c>
      <c r="Z390" s="105">
        <v>-0.22499999999999998</v>
      </c>
      <c r="AA390" s="104"/>
      <c r="AF390" s="105"/>
    </row>
    <row r="391" spans="2:32" x14ac:dyDescent="0.3">
      <c r="B391" s="111">
        <v>64.333333333332973</v>
      </c>
      <c r="C391" s="104"/>
      <c r="H391" s="105"/>
      <c r="I391" s="104"/>
      <c r="N391" s="105"/>
      <c r="O391" s="104">
        <v>36.5</v>
      </c>
      <c r="P391" s="75">
        <v>36.85</v>
      </c>
      <c r="Q391" s="75">
        <v>36.659999999999997</v>
      </c>
      <c r="R391" s="75">
        <v>-4.5999999999999999E-2</v>
      </c>
      <c r="S391" s="75">
        <v>9.5000000000000001E-2</v>
      </c>
      <c r="T391" s="105">
        <v>0.121</v>
      </c>
      <c r="U391" s="104">
        <v>36.21</v>
      </c>
      <c r="V391" s="75">
        <v>36.5</v>
      </c>
      <c r="W391" s="75">
        <v>36.520000000000003</v>
      </c>
      <c r="X391" s="75">
        <v>0.49099999999999999</v>
      </c>
      <c r="Y391" s="75">
        <v>0.41099999999999998</v>
      </c>
      <c r="Z391" s="105">
        <v>0.65100000000000002</v>
      </c>
      <c r="AA391" s="104"/>
      <c r="AF391" s="105"/>
    </row>
    <row r="392" spans="2:32" x14ac:dyDescent="0.3">
      <c r="B392" s="111">
        <v>64.499999999999645</v>
      </c>
      <c r="C392" s="104"/>
      <c r="H392" s="105"/>
      <c r="I392" s="104"/>
      <c r="N392" s="105"/>
      <c r="O392" s="104">
        <v>36.51</v>
      </c>
      <c r="P392" s="75">
        <v>36.909999999999997</v>
      </c>
      <c r="Q392" s="75">
        <v>36.630000000000003</v>
      </c>
      <c r="R392" s="75">
        <v>0.24099999999999999</v>
      </c>
      <c r="S392" s="75">
        <v>0.28799999999999998</v>
      </c>
      <c r="T392" s="105">
        <v>0.312</v>
      </c>
      <c r="U392" s="104">
        <v>36.21</v>
      </c>
      <c r="V392" s="75">
        <v>36.51</v>
      </c>
      <c r="W392" s="75">
        <v>36.53</v>
      </c>
      <c r="X392" s="75">
        <v>0.39100000000000001</v>
      </c>
      <c r="Y392" s="75">
        <v>0.45100000000000001</v>
      </c>
      <c r="Z392" s="105">
        <v>0.12100000000000005</v>
      </c>
      <c r="AA392" s="104"/>
      <c r="AF392" s="105"/>
    </row>
    <row r="393" spans="2:32" x14ac:dyDescent="0.3">
      <c r="B393" s="111">
        <v>64.666666666666316</v>
      </c>
      <c r="C393" s="104"/>
      <c r="H393" s="105"/>
      <c r="I393" s="104"/>
      <c r="N393" s="105"/>
      <c r="O393" s="104">
        <v>36.57</v>
      </c>
      <c r="P393" s="75">
        <v>36.85</v>
      </c>
      <c r="Q393" s="75">
        <v>36.61</v>
      </c>
      <c r="R393" s="75">
        <v>9.8000000000000004E-2</v>
      </c>
      <c r="S393" s="75">
        <v>-0.114</v>
      </c>
      <c r="T393" s="105">
        <v>0.26300000000000001</v>
      </c>
      <c r="U393" s="104">
        <v>36.200000000000003</v>
      </c>
      <c r="V393" s="75">
        <v>36.5</v>
      </c>
      <c r="W393" s="75">
        <v>36.520000000000003</v>
      </c>
      <c r="X393" s="75">
        <v>-0.12</v>
      </c>
      <c r="Y393" s="75">
        <v>0.20100000000000001</v>
      </c>
      <c r="Z393" s="105">
        <v>0.121</v>
      </c>
      <c r="AA393" s="104"/>
      <c r="AF393" s="105"/>
    </row>
    <row r="394" spans="2:32" x14ac:dyDescent="0.3">
      <c r="B394" s="111">
        <v>64.833333333332988</v>
      </c>
      <c r="C394" s="104"/>
      <c r="H394" s="105"/>
      <c r="I394" s="104"/>
      <c r="N394" s="105"/>
      <c r="O394" s="104">
        <v>36.479999999999997</v>
      </c>
      <c r="P394" s="75">
        <v>36.86</v>
      </c>
      <c r="Q394" s="75">
        <v>36.54</v>
      </c>
      <c r="R394" s="75">
        <v>3.6999999999999998E-2</v>
      </c>
      <c r="S394" s="75">
        <v>0.29399999999999998</v>
      </c>
      <c r="T394" s="105">
        <v>-0.26100000000000001</v>
      </c>
      <c r="U394" s="104">
        <v>36.19</v>
      </c>
      <c r="V394" s="75">
        <v>36.5</v>
      </c>
      <c r="W394" s="75">
        <v>36.520000000000003</v>
      </c>
      <c r="X394" s="75">
        <v>0.42</v>
      </c>
      <c r="Y394" s="75">
        <v>-0.29899999999999999</v>
      </c>
      <c r="Z394" s="105">
        <v>0.121</v>
      </c>
      <c r="AA394" s="104"/>
      <c r="AF394" s="105"/>
    </row>
    <row r="395" spans="2:32" x14ac:dyDescent="0.3">
      <c r="B395" s="111">
        <v>64.999999999999659</v>
      </c>
      <c r="C395" s="104"/>
      <c r="H395" s="105"/>
      <c r="I395" s="104"/>
      <c r="N395" s="105"/>
      <c r="O395" s="104">
        <v>36.44</v>
      </c>
      <c r="P395" s="75">
        <v>36.979999999999997</v>
      </c>
      <c r="Q395" s="75">
        <v>36.57</v>
      </c>
      <c r="R395" s="75">
        <v>0.34100000000000003</v>
      </c>
      <c r="S395" s="75">
        <v>0.54900000000000004</v>
      </c>
      <c r="T395" s="105">
        <v>0.14399999999999999</v>
      </c>
      <c r="U395" s="104">
        <v>36.19</v>
      </c>
      <c r="V395" s="75">
        <v>36.520000000000003</v>
      </c>
      <c r="W395" s="75">
        <v>36.540000000000006</v>
      </c>
      <c r="X395" s="75">
        <v>0.45100000000000001</v>
      </c>
      <c r="Y395" s="75">
        <v>0.30099999999999999</v>
      </c>
      <c r="Z395" s="105">
        <v>-0.19800000000000001</v>
      </c>
      <c r="AA395" s="104"/>
      <c r="AF395" s="105"/>
    </row>
    <row r="396" spans="2:32" x14ac:dyDescent="0.3">
      <c r="B396" s="111">
        <v>65.16666666666633</v>
      </c>
      <c r="C396" s="104"/>
      <c r="H396" s="105"/>
      <c r="I396" s="104"/>
      <c r="N396" s="105"/>
      <c r="O396" s="104">
        <v>36.47</v>
      </c>
      <c r="P396" s="75">
        <v>37.020000000000003</v>
      </c>
      <c r="Q396" s="75">
        <v>36.5</v>
      </c>
      <c r="R396" s="75">
        <v>0.34899999999999998</v>
      </c>
      <c r="S396" s="75">
        <v>-4.3999999999999997E-2</v>
      </c>
      <c r="T396" s="105">
        <v>0.45700000000000002</v>
      </c>
      <c r="U396" s="104">
        <v>36.21</v>
      </c>
      <c r="V396" s="75">
        <v>36.51</v>
      </c>
      <c r="W396" s="75">
        <v>36.53</v>
      </c>
      <c r="X396" s="75">
        <v>0.42099999999999999</v>
      </c>
      <c r="Y396" s="75">
        <v>-0.16400000000000001</v>
      </c>
      <c r="Z396" s="105">
        <v>0.121</v>
      </c>
      <c r="AA396" s="104"/>
      <c r="AF396" s="105"/>
    </row>
    <row r="397" spans="2:32" x14ac:dyDescent="0.3">
      <c r="B397" s="111">
        <v>65.333333333333002</v>
      </c>
      <c r="C397" s="104"/>
      <c r="H397" s="105"/>
      <c r="I397" s="104"/>
      <c r="N397" s="105"/>
      <c r="O397" s="104">
        <v>36.53</v>
      </c>
      <c r="P397" s="75">
        <v>37.04</v>
      </c>
      <c r="Q397" s="75">
        <v>36.47</v>
      </c>
      <c r="R397" s="75">
        <v>0.40300000000000002</v>
      </c>
      <c r="S397" s="75">
        <v>-3.2000000000000001E-2</v>
      </c>
      <c r="T397" s="105">
        <v>0.28100000000000003</v>
      </c>
      <c r="U397" s="104">
        <v>36.21</v>
      </c>
      <c r="V397" s="75">
        <v>36.51</v>
      </c>
      <c r="W397" s="75">
        <v>36.53</v>
      </c>
      <c r="X397" s="75">
        <v>0.435</v>
      </c>
      <c r="Y397" s="75">
        <v>0.311</v>
      </c>
      <c r="Z397" s="105">
        <v>0.121</v>
      </c>
      <c r="AA397" s="104"/>
      <c r="AF397" s="105"/>
    </row>
    <row r="398" spans="2:32" x14ac:dyDescent="0.3">
      <c r="B398" s="111">
        <v>65.499999999999673</v>
      </c>
      <c r="C398" s="104"/>
      <c r="H398" s="105"/>
      <c r="I398" s="104"/>
      <c r="N398" s="105"/>
      <c r="O398" s="104">
        <v>36.409999999999997</v>
      </c>
      <c r="P398" s="75">
        <v>37.049999999999997</v>
      </c>
      <c r="Q398" s="75">
        <v>36.28</v>
      </c>
      <c r="R398" s="75">
        <v>0.33500000000000002</v>
      </c>
      <c r="S398" s="75">
        <v>0.23499999999999999</v>
      </c>
      <c r="T398" s="105">
        <v>-0.159</v>
      </c>
      <c r="U398" s="104">
        <v>36.200000000000003</v>
      </c>
      <c r="V398" s="75">
        <v>36.5</v>
      </c>
      <c r="W398" s="75">
        <v>36.520000000000003</v>
      </c>
      <c r="X398" s="75">
        <v>0.45600000000000002</v>
      </c>
      <c r="Y398" s="75">
        <v>0.42899999999999999</v>
      </c>
      <c r="Z398" s="105">
        <v>-0.26600000000000001</v>
      </c>
      <c r="AA398" s="104"/>
      <c r="AF398" s="105"/>
    </row>
    <row r="399" spans="2:32" x14ac:dyDescent="0.3">
      <c r="B399" s="111">
        <v>65.666666666666345</v>
      </c>
      <c r="C399" s="104"/>
      <c r="H399" s="105"/>
      <c r="I399" s="104"/>
      <c r="N399" s="105"/>
      <c r="O399" s="104">
        <v>36.450000000000003</v>
      </c>
      <c r="P399" s="75">
        <v>37.119999999999997</v>
      </c>
      <c r="Q399" s="75">
        <v>36.35</v>
      </c>
      <c r="R399" s="75">
        <v>0.436</v>
      </c>
      <c r="S399" s="75">
        <v>0.63200000000000001</v>
      </c>
      <c r="T399" s="105">
        <v>5.1999999999999998E-2</v>
      </c>
      <c r="U399" s="104">
        <v>36.200000000000003</v>
      </c>
      <c r="V399" s="75">
        <v>36.49</v>
      </c>
      <c r="W399" s="75">
        <v>36.510000000000005</v>
      </c>
      <c r="X399" s="75">
        <v>0.30099999999999999</v>
      </c>
      <c r="Y399" s="75">
        <v>0.49099999999999999</v>
      </c>
      <c r="Z399" s="105">
        <v>0.121</v>
      </c>
      <c r="AA399" s="104"/>
      <c r="AF399" s="105"/>
    </row>
    <row r="400" spans="2:32" x14ac:dyDescent="0.3">
      <c r="B400" s="111">
        <v>65.833333333333016</v>
      </c>
      <c r="C400" s="104"/>
      <c r="H400" s="105"/>
      <c r="I400" s="104"/>
      <c r="N400" s="105"/>
      <c r="O400" s="104">
        <v>36.4</v>
      </c>
      <c r="P400" s="75">
        <v>37.1</v>
      </c>
      <c r="Q400" s="75">
        <v>36.28</v>
      </c>
      <c r="R400" s="75">
        <v>0.73099999999999998</v>
      </c>
      <c r="S400" s="75">
        <v>0.27500000000000002</v>
      </c>
      <c r="T400" s="105">
        <v>-0.01</v>
      </c>
      <c r="U400" s="104">
        <v>36.21</v>
      </c>
      <c r="V400" s="75">
        <v>36.5</v>
      </c>
      <c r="W400" s="75">
        <v>36.520000000000003</v>
      </c>
      <c r="X400" s="75">
        <v>0.49099999999999999</v>
      </c>
      <c r="Y400" s="75">
        <v>0.39100000000000001</v>
      </c>
      <c r="Z400" s="105">
        <v>0.121</v>
      </c>
      <c r="AA400" s="104"/>
      <c r="AF400" s="105"/>
    </row>
    <row r="401" spans="2:32" x14ac:dyDescent="0.3">
      <c r="B401" s="112">
        <v>65.999999999999687</v>
      </c>
      <c r="C401" s="106"/>
      <c r="D401" s="78"/>
      <c r="E401" s="78"/>
      <c r="F401" s="78"/>
      <c r="G401" s="78"/>
      <c r="H401" s="107"/>
      <c r="I401" s="106"/>
      <c r="J401" s="78"/>
      <c r="K401" s="78"/>
      <c r="L401" s="78"/>
      <c r="M401" s="78"/>
      <c r="N401" s="107"/>
      <c r="O401" s="106">
        <v>36.369999999999997</v>
      </c>
      <c r="P401" s="78">
        <v>37.11</v>
      </c>
      <c r="Q401" s="78">
        <v>36.24</v>
      </c>
      <c r="R401" s="78">
        <v>0.42199999999999999</v>
      </c>
      <c r="S401" s="78">
        <v>0.221</v>
      </c>
      <c r="T401" s="107">
        <v>0.124</v>
      </c>
      <c r="U401" s="106">
        <v>36.21</v>
      </c>
      <c r="V401" s="78">
        <v>36.5</v>
      </c>
      <c r="W401" s="78">
        <v>36.520000000000003</v>
      </c>
      <c r="X401" s="78">
        <v>-0.26500000000000001</v>
      </c>
      <c r="Y401" s="78">
        <v>0.42899999999999999</v>
      </c>
      <c r="Z401" s="107">
        <v>0.33200000000000002</v>
      </c>
      <c r="AA401" s="106"/>
      <c r="AB401" s="78"/>
      <c r="AC401" s="78"/>
      <c r="AD401" s="78"/>
      <c r="AE401" s="78"/>
      <c r="AF401" s="107"/>
    </row>
  </sheetData>
  <mergeCells count="15">
    <mergeCell ref="R3:T3"/>
    <mergeCell ref="U3:W3"/>
    <mergeCell ref="X3:Z3"/>
    <mergeCell ref="AA3:AC3"/>
    <mergeCell ref="AD3:AF3"/>
    <mergeCell ref="C2:H2"/>
    <mergeCell ref="I2:N2"/>
    <mergeCell ref="O2:T2"/>
    <mergeCell ref="U2:Z2"/>
    <mergeCell ref="AA2:AF2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65B2-B670-4837-B36D-C5231D7255E1}">
  <dimension ref="B2:AF761"/>
  <sheetViews>
    <sheetView zoomScale="70" zoomScaleNormal="70" workbookViewId="0">
      <selection activeCell="J15" sqref="J15"/>
    </sheetView>
  </sheetViews>
  <sheetFormatPr baseColWidth="10" defaultRowHeight="14.4" x14ac:dyDescent="0.3"/>
  <cols>
    <col min="2" max="32" width="11.5546875" style="75"/>
  </cols>
  <sheetData>
    <row r="2" spans="2:32" x14ac:dyDescent="0.3">
      <c r="C2" s="117" t="s">
        <v>67</v>
      </c>
      <c r="D2" s="118"/>
      <c r="E2" s="118"/>
      <c r="F2" s="118"/>
      <c r="G2" s="118"/>
      <c r="H2" s="119"/>
      <c r="I2" s="117" t="s">
        <v>68</v>
      </c>
      <c r="J2" s="118"/>
      <c r="K2" s="118"/>
      <c r="L2" s="118"/>
      <c r="M2" s="118"/>
      <c r="N2" s="119"/>
      <c r="O2" s="117" t="s">
        <v>69</v>
      </c>
      <c r="P2" s="118"/>
      <c r="Q2" s="118"/>
      <c r="R2" s="118"/>
      <c r="S2" s="118"/>
      <c r="T2" s="119"/>
      <c r="U2" s="117" t="s">
        <v>70</v>
      </c>
      <c r="V2" s="118"/>
      <c r="W2" s="118"/>
      <c r="X2" s="118"/>
      <c r="Y2" s="118"/>
      <c r="Z2" s="119"/>
      <c r="AA2" s="117" t="s">
        <v>71</v>
      </c>
      <c r="AB2" s="118"/>
      <c r="AC2" s="118"/>
      <c r="AD2" s="118"/>
      <c r="AE2" s="118"/>
      <c r="AF2" s="119"/>
    </row>
    <row r="3" spans="2:32" ht="16.2" x14ac:dyDescent="0.3">
      <c r="C3" s="137" t="s">
        <v>91</v>
      </c>
      <c r="D3" s="138"/>
      <c r="E3" s="138"/>
      <c r="F3" s="138" t="s">
        <v>92</v>
      </c>
      <c r="G3" s="138"/>
      <c r="H3" s="139"/>
      <c r="I3" s="137" t="s">
        <v>91</v>
      </c>
      <c r="J3" s="138"/>
      <c r="K3" s="138"/>
      <c r="L3" s="138" t="s">
        <v>92</v>
      </c>
      <c r="M3" s="138"/>
      <c r="N3" s="139"/>
      <c r="O3" s="137" t="s">
        <v>91</v>
      </c>
      <c r="P3" s="138"/>
      <c r="Q3" s="138"/>
      <c r="R3" s="138" t="s">
        <v>92</v>
      </c>
      <c r="S3" s="138"/>
      <c r="T3" s="139"/>
      <c r="U3" s="137" t="s">
        <v>91</v>
      </c>
      <c r="V3" s="138"/>
      <c r="W3" s="138"/>
      <c r="X3" s="138" t="s">
        <v>92</v>
      </c>
      <c r="Y3" s="138"/>
      <c r="Z3" s="139"/>
      <c r="AA3" s="137" t="s">
        <v>91</v>
      </c>
      <c r="AB3" s="138"/>
      <c r="AC3" s="138"/>
      <c r="AD3" s="138" t="s">
        <v>92</v>
      </c>
      <c r="AE3" s="138"/>
      <c r="AF3" s="139"/>
    </row>
    <row r="4" spans="2:32" x14ac:dyDescent="0.3">
      <c r="B4" s="91" t="s">
        <v>93</v>
      </c>
      <c r="C4" s="98" t="s">
        <v>72</v>
      </c>
      <c r="D4" s="99" t="s">
        <v>73</v>
      </c>
      <c r="E4" s="99" t="s">
        <v>74</v>
      </c>
      <c r="F4" s="99" t="s">
        <v>72</v>
      </c>
      <c r="G4" s="99" t="s">
        <v>73</v>
      </c>
      <c r="H4" s="100" t="s">
        <v>74</v>
      </c>
      <c r="I4" s="98" t="s">
        <v>72</v>
      </c>
      <c r="J4" s="99" t="s">
        <v>73</v>
      </c>
      <c r="K4" s="99" t="s">
        <v>74</v>
      </c>
      <c r="L4" s="99" t="s">
        <v>72</v>
      </c>
      <c r="M4" s="99" t="s">
        <v>73</v>
      </c>
      <c r="N4" s="100" t="s">
        <v>74</v>
      </c>
      <c r="O4" s="98" t="s">
        <v>72</v>
      </c>
      <c r="P4" s="99" t="s">
        <v>73</v>
      </c>
      <c r="Q4" s="99" t="s">
        <v>74</v>
      </c>
      <c r="R4" s="99" t="s">
        <v>72</v>
      </c>
      <c r="S4" s="99" t="s">
        <v>73</v>
      </c>
      <c r="T4" s="100" t="s">
        <v>74</v>
      </c>
      <c r="U4" s="98" t="s">
        <v>72</v>
      </c>
      <c r="V4" s="99" t="s">
        <v>73</v>
      </c>
      <c r="W4" s="99" t="s">
        <v>74</v>
      </c>
      <c r="X4" s="99" t="s">
        <v>72</v>
      </c>
      <c r="Y4" s="99" t="s">
        <v>73</v>
      </c>
      <c r="Z4" s="100" t="s">
        <v>74</v>
      </c>
      <c r="AA4" s="98" t="s">
        <v>72</v>
      </c>
      <c r="AB4" s="99" t="s">
        <v>73</v>
      </c>
      <c r="AC4" s="99" t="s">
        <v>74</v>
      </c>
      <c r="AD4" s="99" t="s">
        <v>72</v>
      </c>
      <c r="AE4" s="99" t="s">
        <v>73</v>
      </c>
      <c r="AF4" s="100" t="s">
        <v>74</v>
      </c>
    </row>
    <row r="5" spans="2:32" x14ac:dyDescent="0.3">
      <c r="B5" s="111">
        <v>0</v>
      </c>
      <c r="C5" s="104">
        <v>19.97</v>
      </c>
      <c r="D5" s="75">
        <v>20.18</v>
      </c>
      <c r="E5" s="75">
        <v>19.98</v>
      </c>
      <c r="F5" s="75">
        <v>1.43</v>
      </c>
      <c r="G5" s="75">
        <v>-0.20200000000000001</v>
      </c>
      <c r="H5" s="105">
        <v>-0.23200000000000001</v>
      </c>
      <c r="I5" s="104">
        <v>19.87</v>
      </c>
      <c r="J5" s="75">
        <v>19.989999999999998</v>
      </c>
      <c r="K5" s="75">
        <v>19.829999999999998</v>
      </c>
      <c r="L5" s="75">
        <v>-0.36499999999999999</v>
      </c>
      <c r="M5" s="75">
        <v>8.4000000000000005E-2</v>
      </c>
      <c r="N5" s="105">
        <v>1.6240000000000001</v>
      </c>
      <c r="O5" s="104">
        <v>35.31</v>
      </c>
      <c r="P5" s="75">
        <v>35.39</v>
      </c>
      <c r="Q5" s="75">
        <v>35.270000000000003</v>
      </c>
      <c r="R5" s="75">
        <v>0.49099999999999999</v>
      </c>
      <c r="S5" s="75">
        <v>-0.32900000000000001</v>
      </c>
      <c r="T5" s="105">
        <v>-1.4999999999999999E-2</v>
      </c>
      <c r="U5" s="104">
        <v>35.47</v>
      </c>
      <c r="V5" s="75">
        <v>35.200000000000003</v>
      </c>
      <c r="W5" s="75">
        <v>35.35</v>
      </c>
      <c r="X5" s="75">
        <v>-9.8000000000000004E-2</v>
      </c>
      <c r="Y5" s="75">
        <v>0.13400000000000001</v>
      </c>
      <c r="Z5" s="105">
        <v>-7.8E-2</v>
      </c>
      <c r="AA5" s="104">
        <v>19.98</v>
      </c>
      <c r="AB5" s="75">
        <v>20.010000000000002</v>
      </c>
      <c r="AC5" s="75">
        <v>19.87</v>
      </c>
      <c r="AD5" s="75">
        <v>0.41099999999999998</v>
      </c>
      <c r="AE5" s="75">
        <v>-0.61899999999999999</v>
      </c>
      <c r="AF5" s="105">
        <v>-0.17599999999999999</v>
      </c>
    </row>
    <row r="6" spans="2:32" x14ac:dyDescent="0.3">
      <c r="B6" s="111">
        <v>0.16666666666666666</v>
      </c>
      <c r="C6" s="104">
        <v>19.98</v>
      </c>
      <c r="D6" s="75">
        <v>20.12</v>
      </c>
      <c r="E6" s="75">
        <v>19.95</v>
      </c>
      <c r="F6" s="75">
        <v>1.2330000000000001</v>
      </c>
      <c r="G6" s="75">
        <v>-0.61799999999999999</v>
      </c>
      <c r="H6" s="105">
        <v>-0.34300000000000003</v>
      </c>
      <c r="I6" s="104">
        <v>19.850000000000001</v>
      </c>
      <c r="J6" s="75">
        <v>19.98</v>
      </c>
      <c r="K6" s="75">
        <v>19.809999999999999</v>
      </c>
      <c r="L6" s="75">
        <v>1.7170000000000001</v>
      </c>
      <c r="M6" s="75">
        <v>-0.36499999999999999</v>
      </c>
      <c r="N6" s="105">
        <v>8.4000000000000005E-2</v>
      </c>
      <c r="O6" s="104">
        <v>35.33</v>
      </c>
      <c r="P6" s="75">
        <v>35.32</v>
      </c>
      <c r="Q6" s="75">
        <v>35.31</v>
      </c>
      <c r="R6" s="75">
        <v>0.36199999999999999</v>
      </c>
      <c r="S6" s="75">
        <v>-0.27800000000000002</v>
      </c>
      <c r="T6" s="105">
        <v>-0.221</v>
      </c>
      <c r="U6" s="104">
        <v>35.36</v>
      </c>
      <c r="V6" s="75">
        <v>35.299999999999997</v>
      </c>
      <c r="W6" s="75">
        <v>35.340000000000003</v>
      </c>
      <c r="X6" s="75">
        <v>-0.58599999999999997</v>
      </c>
      <c r="Y6" s="75">
        <v>0.379</v>
      </c>
      <c r="Z6" s="105">
        <v>0.14699999999999999</v>
      </c>
      <c r="AA6" s="104">
        <v>19.96</v>
      </c>
      <c r="AB6" s="75">
        <v>20.010000000000002</v>
      </c>
      <c r="AC6" s="75">
        <v>19.84</v>
      </c>
      <c r="AD6" s="75">
        <v>0.24199999999999999</v>
      </c>
      <c r="AE6" s="75">
        <v>-0.50600000000000001</v>
      </c>
      <c r="AF6" s="105">
        <v>-0.314</v>
      </c>
    </row>
    <row r="7" spans="2:32" x14ac:dyDescent="0.3">
      <c r="B7" s="111">
        <v>0.33333333333333331</v>
      </c>
      <c r="C7" s="104">
        <v>19.97</v>
      </c>
      <c r="D7" s="75">
        <v>20.09</v>
      </c>
      <c r="E7" s="75">
        <v>19.920000000000002</v>
      </c>
      <c r="F7" s="75">
        <v>1.0309999999999999</v>
      </c>
      <c r="G7" s="75">
        <v>-0.84699999999999998</v>
      </c>
      <c r="H7" s="105">
        <v>-0.39100000000000001</v>
      </c>
      <c r="I7" s="104">
        <v>19.850000000000001</v>
      </c>
      <c r="J7" s="75">
        <v>19.95</v>
      </c>
      <c r="K7" s="75">
        <v>19.78</v>
      </c>
      <c r="L7" s="75">
        <v>1.4870000000000001</v>
      </c>
      <c r="M7" s="75">
        <v>-5.0999999999999997E-2</v>
      </c>
      <c r="N7" s="105">
        <v>-5.8999999999999997E-2</v>
      </c>
      <c r="O7" s="104">
        <v>35.340000000000003</v>
      </c>
      <c r="P7" s="75">
        <v>35.299999999999997</v>
      </c>
      <c r="Q7" s="75">
        <v>35.200000000000003</v>
      </c>
      <c r="R7" s="75">
        <v>0.53400000000000003</v>
      </c>
      <c r="S7" s="75">
        <v>-0.34100000000000003</v>
      </c>
      <c r="T7" s="105">
        <v>0.20100000000000001</v>
      </c>
      <c r="U7" s="104">
        <v>35.49</v>
      </c>
      <c r="V7" s="75">
        <v>35.130000000000003</v>
      </c>
      <c r="W7" s="75">
        <v>35.35</v>
      </c>
      <c r="X7" s="75">
        <v>-0.24399999999999999</v>
      </c>
      <c r="Y7" s="75">
        <v>8.4000000000000005E-2</v>
      </c>
      <c r="Z7" s="105">
        <v>-4.8000000000000001E-2</v>
      </c>
      <c r="AA7" s="104">
        <v>19.95</v>
      </c>
      <c r="AB7" s="75">
        <v>19.98</v>
      </c>
      <c r="AC7" s="75">
        <v>19.809999999999999</v>
      </c>
      <c r="AD7" s="75">
        <v>7.4999999999999997E-2</v>
      </c>
      <c r="AE7" s="75">
        <v>-0.73699999999999999</v>
      </c>
      <c r="AF7" s="105">
        <v>-0.80100000000000005</v>
      </c>
    </row>
    <row r="8" spans="2:32" x14ac:dyDescent="0.3">
      <c r="B8" s="111">
        <v>0.5</v>
      </c>
      <c r="C8" s="104">
        <v>19.98</v>
      </c>
      <c r="D8" s="75">
        <v>20.12</v>
      </c>
      <c r="E8" s="75">
        <v>19.899999999999999</v>
      </c>
      <c r="F8" s="75">
        <v>0.83299999999999996</v>
      </c>
      <c r="G8" s="75">
        <v>-0.80100000000000005</v>
      </c>
      <c r="H8" s="105">
        <v>-0.56499999999999995</v>
      </c>
      <c r="I8" s="104">
        <v>19.809999999999999</v>
      </c>
      <c r="J8" s="75">
        <v>19.91</v>
      </c>
      <c r="K8" s="75">
        <v>19.760000000000002</v>
      </c>
      <c r="L8" s="75">
        <v>1.26</v>
      </c>
      <c r="M8" s="75">
        <v>-0.33100000000000002</v>
      </c>
      <c r="N8" s="105">
        <v>-0.83899999999999997</v>
      </c>
      <c r="O8" s="104">
        <v>35.19</v>
      </c>
      <c r="P8" s="75">
        <v>35.35</v>
      </c>
      <c r="Q8" s="75">
        <v>35.29</v>
      </c>
      <c r="R8" s="75">
        <v>0.432</v>
      </c>
      <c r="S8" s="75">
        <v>-0.45300000000000001</v>
      </c>
      <c r="T8" s="105">
        <v>-3.5999999999999997E-2</v>
      </c>
      <c r="U8" s="104">
        <v>35.17</v>
      </c>
      <c r="V8" s="75">
        <v>35.340000000000003</v>
      </c>
      <c r="W8" s="75">
        <v>35.28</v>
      </c>
      <c r="X8" s="75">
        <v>-0.16800000000000001</v>
      </c>
      <c r="Y8" s="75">
        <v>-0.46700000000000003</v>
      </c>
      <c r="Z8" s="105">
        <v>-0.35499999999999998</v>
      </c>
      <c r="AA8" s="104">
        <v>19.91</v>
      </c>
      <c r="AB8" s="75">
        <v>19.93</v>
      </c>
      <c r="AC8" s="75">
        <v>19.79</v>
      </c>
      <c r="AD8" s="75">
        <v>-9.2999999999999999E-2</v>
      </c>
      <c r="AE8" s="75">
        <v>-1.224</v>
      </c>
      <c r="AF8" s="105">
        <v>-0.58899999999999997</v>
      </c>
    </row>
    <row r="9" spans="2:32" x14ac:dyDescent="0.3">
      <c r="B9" s="111">
        <v>0.66666666666666663</v>
      </c>
      <c r="C9" s="104">
        <v>19.95</v>
      </c>
      <c r="D9" s="75">
        <v>20.03</v>
      </c>
      <c r="E9" s="75">
        <v>19.87</v>
      </c>
      <c r="F9" s="75">
        <v>0.626</v>
      </c>
      <c r="G9" s="75">
        <v>-1.3049999999999999</v>
      </c>
      <c r="H9" s="105">
        <v>-0.67700000000000005</v>
      </c>
      <c r="I9" s="104">
        <v>19.84</v>
      </c>
      <c r="J9" s="75">
        <v>19.89</v>
      </c>
      <c r="K9" s="75">
        <v>19.739999999999998</v>
      </c>
      <c r="L9" s="75">
        <v>1.038</v>
      </c>
      <c r="M9" s="75">
        <v>-0.53700000000000003</v>
      </c>
      <c r="N9" s="105">
        <v>-0.34499999999999997</v>
      </c>
      <c r="O9" s="104">
        <v>35.14</v>
      </c>
      <c r="P9" s="75">
        <v>35.29</v>
      </c>
      <c r="Q9" s="75">
        <v>35.28</v>
      </c>
      <c r="R9" s="75">
        <v>0.34300000000000003</v>
      </c>
      <c r="S9" s="75">
        <v>-0.46899999999999997</v>
      </c>
      <c r="T9" s="105">
        <v>-0.02</v>
      </c>
      <c r="U9" s="104">
        <v>35.409999999999997</v>
      </c>
      <c r="V9" s="75">
        <v>35.42</v>
      </c>
      <c r="W9" s="75">
        <v>35.35</v>
      </c>
      <c r="X9" s="75">
        <v>-0.38300000000000001</v>
      </c>
      <c r="Y9" s="75">
        <v>0.66200000000000003</v>
      </c>
      <c r="Z9" s="105">
        <v>-0.104</v>
      </c>
      <c r="AA9" s="104">
        <v>19.920000000000002</v>
      </c>
      <c r="AB9" s="75">
        <v>19.91</v>
      </c>
      <c r="AC9" s="75">
        <v>19.760000000000002</v>
      </c>
      <c r="AD9" s="75">
        <v>-0.25700000000000001</v>
      </c>
      <c r="AE9" s="75">
        <v>-1.1990000000000001</v>
      </c>
      <c r="AF9" s="105">
        <v>-0.72599999999999998</v>
      </c>
    </row>
    <row r="10" spans="2:32" x14ac:dyDescent="0.3">
      <c r="B10" s="111">
        <v>0.83333333333333326</v>
      </c>
      <c r="C10" s="104">
        <v>19.93</v>
      </c>
      <c r="D10" s="75">
        <v>19.989999999999998</v>
      </c>
      <c r="E10" s="75">
        <v>19.850000000000001</v>
      </c>
      <c r="F10" s="75">
        <v>0.42299999999999999</v>
      </c>
      <c r="G10" s="75">
        <v>-1.534</v>
      </c>
      <c r="H10" s="105">
        <v>-1.5549999999999999</v>
      </c>
      <c r="I10" s="104">
        <v>19.84</v>
      </c>
      <c r="J10" s="75">
        <v>19.87</v>
      </c>
      <c r="K10" s="75">
        <v>19.71</v>
      </c>
      <c r="L10" s="75">
        <v>0.80500000000000005</v>
      </c>
      <c r="M10" s="75">
        <v>-0.89100000000000001</v>
      </c>
      <c r="N10" s="105">
        <v>-0.48899999999999999</v>
      </c>
      <c r="O10" s="104">
        <v>35.24</v>
      </c>
      <c r="P10" s="75">
        <v>35.24</v>
      </c>
      <c r="Q10" s="75">
        <v>35.18</v>
      </c>
      <c r="R10" s="75">
        <v>0.36699999999999999</v>
      </c>
      <c r="S10" s="75">
        <v>-0.222</v>
      </c>
      <c r="T10" s="105">
        <v>1.6E-2</v>
      </c>
      <c r="U10" s="104">
        <v>35.68</v>
      </c>
      <c r="V10" s="75">
        <v>35.21</v>
      </c>
      <c r="W10" s="75">
        <v>35.49</v>
      </c>
      <c r="X10" s="75">
        <v>9.1999999999999998E-2</v>
      </c>
      <c r="Y10" s="75">
        <v>0.161</v>
      </c>
      <c r="Z10" s="105">
        <v>-0.16400000000000001</v>
      </c>
      <c r="AA10" s="104">
        <v>19.93</v>
      </c>
      <c r="AB10" s="75">
        <v>19.87</v>
      </c>
      <c r="AC10" s="75">
        <v>19.739999999999998</v>
      </c>
      <c r="AD10" s="75">
        <v>-0.42299999999999999</v>
      </c>
      <c r="AE10" s="75">
        <v>-1.429</v>
      </c>
      <c r="AF10" s="105">
        <v>-0.51200000000000001</v>
      </c>
    </row>
    <row r="11" spans="2:32" x14ac:dyDescent="0.3">
      <c r="B11" s="111">
        <v>0.99999999999999989</v>
      </c>
      <c r="C11" s="104">
        <v>19.940000000000001</v>
      </c>
      <c r="D11" s="75">
        <v>19.95</v>
      </c>
      <c r="E11" s="75">
        <v>19.82</v>
      </c>
      <c r="F11" s="75">
        <v>0.214</v>
      </c>
      <c r="G11" s="75">
        <v>-1.5169999999999999</v>
      </c>
      <c r="H11" s="105">
        <v>-0.89900000000000002</v>
      </c>
      <c r="I11" s="104">
        <v>19.84</v>
      </c>
      <c r="J11" s="75">
        <v>19.84</v>
      </c>
      <c r="K11" s="75">
        <v>19.690000000000001</v>
      </c>
      <c r="L11" s="75">
        <v>0.57799999999999996</v>
      </c>
      <c r="M11" s="75">
        <v>-1.171</v>
      </c>
      <c r="N11" s="105">
        <v>-0.38800000000000001</v>
      </c>
      <c r="O11" s="104">
        <v>35.11</v>
      </c>
      <c r="P11" s="75">
        <v>35.270000000000003</v>
      </c>
      <c r="Q11" s="75">
        <v>35.24</v>
      </c>
      <c r="R11" s="75">
        <v>0.4</v>
      </c>
      <c r="S11" s="75">
        <v>-0.26700000000000002</v>
      </c>
      <c r="T11" s="105">
        <v>-0.17499999999999999</v>
      </c>
      <c r="U11" s="104">
        <v>35.36</v>
      </c>
      <c r="V11" s="75">
        <v>35.29</v>
      </c>
      <c r="W11" s="75">
        <v>35.35</v>
      </c>
      <c r="X11" s="75">
        <v>5.1999999999999998E-2</v>
      </c>
      <c r="Y11" s="75">
        <v>0.61799999999999999</v>
      </c>
      <c r="Z11" s="105">
        <v>-0.371</v>
      </c>
      <c r="AA11" s="104">
        <v>19.899999999999999</v>
      </c>
      <c r="AB11" s="75">
        <v>19.86</v>
      </c>
      <c r="AC11" s="75">
        <v>19.71</v>
      </c>
      <c r="AD11" s="75">
        <v>-0.58699999999999997</v>
      </c>
      <c r="AE11" s="75">
        <v>-1.6259999999999999</v>
      </c>
      <c r="AF11" s="105">
        <v>-1.0009999999999999</v>
      </c>
    </row>
    <row r="12" spans="2:32" x14ac:dyDescent="0.3">
      <c r="B12" s="111">
        <v>1.1666666666666665</v>
      </c>
      <c r="C12" s="104">
        <v>19.8</v>
      </c>
      <c r="D12" s="75">
        <v>19.84</v>
      </c>
      <c r="E12" s="75">
        <v>19.7</v>
      </c>
      <c r="F12" s="75">
        <v>1.7999999999999999E-2</v>
      </c>
      <c r="G12" s="75">
        <v>-1.992</v>
      </c>
      <c r="H12" s="105">
        <v>-1.01</v>
      </c>
      <c r="I12" s="104">
        <v>19.7</v>
      </c>
      <c r="J12" s="75">
        <v>19.71</v>
      </c>
      <c r="K12" s="75">
        <v>19.579999999999998</v>
      </c>
      <c r="L12" s="75">
        <v>0.35499999999999998</v>
      </c>
      <c r="M12" s="75">
        <v>-1.9930000000000001</v>
      </c>
      <c r="N12" s="105">
        <v>-0.77500000000000002</v>
      </c>
      <c r="O12" s="104">
        <v>35.090000000000003</v>
      </c>
      <c r="P12" s="75">
        <v>35.26</v>
      </c>
      <c r="Q12" s="75">
        <v>35.17</v>
      </c>
      <c r="R12" s="75">
        <v>8.7999999999999995E-2</v>
      </c>
      <c r="S12" s="75">
        <v>-0.45500000000000002</v>
      </c>
      <c r="T12" s="105">
        <v>-0.41799999999999998</v>
      </c>
      <c r="U12" s="104">
        <v>35.49</v>
      </c>
      <c r="V12" s="75">
        <v>35.39</v>
      </c>
      <c r="W12" s="75">
        <v>35.33</v>
      </c>
      <c r="X12" s="75">
        <v>-0.247</v>
      </c>
      <c r="Y12" s="75">
        <v>0.252</v>
      </c>
      <c r="Z12" s="105">
        <v>-0.315</v>
      </c>
      <c r="AA12" s="104">
        <v>19.760000000000002</v>
      </c>
      <c r="AB12" s="75">
        <v>19.72</v>
      </c>
      <c r="AC12" s="75">
        <v>19.59</v>
      </c>
      <c r="AD12" s="75">
        <v>-0.75600000000000001</v>
      </c>
      <c r="AE12" s="75">
        <v>-1.891</v>
      </c>
      <c r="AF12" s="105">
        <v>-1.139</v>
      </c>
    </row>
    <row r="13" spans="2:32" x14ac:dyDescent="0.3">
      <c r="B13" s="111">
        <v>1.3333333333333333</v>
      </c>
      <c r="C13" s="104">
        <v>19.68</v>
      </c>
      <c r="D13" s="75">
        <v>19.739999999999998</v>
      </c>
      <c r="E13" s="75">
        <v>19.600000000000001</v>
      </c>
      <c r="F13" s="75">
        <v>-0.184</v>
      </c>
      <c r="G13" s="75">
        <v>-2.2210000000000001</v>
      </c>
      <c r="H13" s="105">
        <v>-1.119</v>
      </c>
      <c r="I13" s="104">
        <v>19.579999999999998</v>
      </c>
      <c r="J13" s="75">
        <v>19.61</v>
      </c>
      <c r="K13" s="75">
        <v>19.47</v>
      </c>
      <c r="L13" s="75">
        <v>0.124</v>
      </c>
      <c r="M13" s="75">
        <v>-1.7310000000000001</v>
      </c>
      <c r="N13" s="105">
        <v>-0.91800000000000004</v>
      </c>
      <c r="O13" s="104">
        <v>35.119999999999997</v>
      </c>
      <c r="P13" s="75">
        <v>35.22</v>
      </c>
      <c r="Q13" s="75">
        <v>35.18</v>
      </c>
      <c r="R13" s="75">
        <v>-0.40500000000000003</v>
      </c>
      <c r="S13" s="75">
        <v>-0.36099999999999999</v>
      </c>
      <c r="T13" s="105">
        <v>-0.49</v>
      </c>
      <c r="U13" s="104">
        <v>35.18</v>
      </c>
      <c r="V13" s="75">
        <v>35.17</v>
      </c>
      <c r="W13" s="75">
        <v>35.18</v>
      </c>
      <c r="X13" s="75">
        <v>-1.0189999999999999</v>
      </c>
      <c r="Y13" s="75">
        <v>-1.6579999999999999</v>
      </c>
      <c r="Z13" s="105">
        <v>-1.671</v>
      </c>
      <c r="AA13" s="104">
        <v>19.64</v>
      </c>
      <c r="AB13" s="75">
        <v>19.63</v>
      </c>
      <c r="AC13" s="75">
        <v>19.489999999999998</v>
      </c>
      <c r="AD13" s="75">
        <v>-0.92200000000000004</v>
      </c>
      <c r="AE13" s="75">
        <v>-2.1219999999999999</v>
      </c>
      <c r="AF13" s="105">
        <v>-1.069</v>
      </c>
    </row>
    <row r="14" spans="2:32" x14ac:dyDescent="0.3">
      <c r="B14" s="111">
        <v>1.5</v>
      </c>
      <c r="C14" s="104">
        <v>19.579999999999998</v>
      </c>
      <c r="D14" s="75">
        <v>19.649999999999999</v>
      </c>
      <c r="E14" s="75">
        <v>19.489999999999998</v>
      </c>
      <c r="F14" s="75">
        <v>-0.36899999999999999</v>
      </c>
      <c r="G14" s="75">
        <v>-2.4239999999999999</v>
      </c>
      <c r="H14" s="105">
        <v>-1.2330000000000001</v>
      </c>
      <c r="I14" s="104">
        <v>19.48</v>
      </c>
      <c r="J14" s="75">
        <v>19.52</v>
      </c>
      <c r="K14" s="75">
        <v>19.36</v>
      </c>
      <c r="L14" s="75">
        <v>-0.10299999999999999</v>
      </c>
      <c r="M14" s="75">
        <v>-2.0110000000000001</v>
      </c>
      <c r="N14" s="105">
        <v>-1.0880000000000001</v>
      </c>
      <c r="O14" s="104">
        <v>35.07</v>
      </c>
      <c r="P14" s="75">
        <v>35.15</v>
      </c>
      <c r="Q14" s="75">
        <v>35.17</v>
      </c>
      <c r="R14" s="75">
        <v>-0.71199999999999997</v>
      </c>
      <c r="S14" s="75">
        <v>-0.58399999999999996</v>
      </c>
      <c r="T14" s="105">
        <v>-0.38600000000000001</v>
      </c>
      <c r="U14" s="104">
        <v>34.99</v>
      </c>
      <c r="V14" s="75">
        <v>35.03</v>
      </c>
      <c r="W14" s="75">
        <v>35.020000000000003</v>
      </c>
      <c r="X14" s="75">
        <v>-2.4969999999999999</v>
      </c>
      <c r="Y14" s="75">
        <v>-2.6909999999999998</v>
      </c>
      <c r="Z14" s="105">
        <v>-3.569</v>
      </c>
      <c r="AA14" s="104">
        <v>19.54</v>
      </c>
      <c r="AB14" s="75">
        <v>19.53</v>
      </c>
      <c r="AC14" s="75">
        <v>19.39</v>
      </c>
      <c r="AD14" s="75">
        <v>-1.091</v>
      </c>
      <c r="AE14" s="75">
        <v>-2.2280000000000002</v>
      </c>
      <c r="AF14" s="105">
        <v>-1.4139999999999999</v>
      </c>
    </row>
    <row r="15" spans="2:32" x14ac:dyDescent="0.3">
      <c r="B15" s="111">
        <v>1.6666666666666667</v>
      </c>
      <c r="C15" s="104">
        <v>19.5</v>
      </c>
      <c r="D15" s="75">
        <v>19.559999999999999</v>
      </c>
      <c r="E15" s="75">
        <v>19.41</v>
      </c>
      <c r="F15" s="75">
        <v>-0.59</v>
      </c>
      <c r="G15" s="75">
        <v>-2.34</v>
      </c>
      <c r="H15" s="105">
        <v>-1.077</v>
      </c>
      <c r="I15" s="104">
        <v>19.39</v>
      </c>
      <c r="J15" s="75">
        <v>19.43</v>
      </c>
      <c r="K15" s="75">
        <v>19.28</v>
      </c>
      <c r="L15" s="75">
        <v>-0.34100000000000003</v>
      </c>
      <c r="M15" s="75">
        <v>-2.0129999999999999</v>
      </c>
      <c r="N15" s="105">
        <v>-1.204</v>
      </c>
      <c r="O15" s="104">
        <v>35.03</v>
      </c>
      <c r="P15" s="75">
        <v>35.159999999999997</v>
      </c>
      <c r="Q15" s="75">
        <v>35.11</v>
      </c>
      <c r="R15" s="75">
        <v>-0.99</v>
      </c>
      <c r="S15" s="75">
        <v>-0.375</v>
      </c>
      <c r="T15" s="105">
        <v>-0.51500000000000001</v>
      </c>
      <c r="U15" s="104">
        <v>34.840000000000003</v>
      </c>
      <c r="V15" s="75">
        <v>34.909999999999997</v>
      </c>
      <c r="W15" s="75">
        <v>34.9</v>
      </c>
      <c r="X15" s="75">
        <v>-2.69</v>
      </c>
      <c r="Y15" s="75">
        <v>-2.52</v>
      </c>
      <c r="Z15" s="105">
        <v>-3.1309999999999998</v>
      </c>
      <c r="AA15" s="104">
        <v>19.45</v>
      </c>
      <c r="AB15" s="75">
        <v>19.440000000000001</v>
      </c>
      <c r="AC15" s="75">
        <v>19.32</v>
      </c>
      <c r="AD15" s="75">
        <v>-1.2549999999999999</v>
      </c>
      <c r="AE15" s="75">
        <v>-2.2360000000000002</v>
      </c>
      <c r="AF15" s="105">
        <v>-1.3080000000000001</v>
      </c>
    </row>
    <row r="16" spans="2:32" x14ac:dyDescent="0.3">
      <c r="B16" s="111">
        <v>1.8333333333333335</v>
      </c>
      <c r="C16" s="104">
        <v>19.41</v>
      </c>
      <c r="D16" s="75">
        <v>19.48</v>
      </c>
      <c r="E16" s="75">
        <v>19.350000000000001</v>
      </c>
      <c r="F16" s="75">
        <v>-0.79200000000000004</v>
      </c>
      <c r="G16" s="75">
        <v>-2.2770000000000001</v>
      </c>
      <c r="H16" s="105">
        <v>-1.038</v>
      </c>
      <c r="I16" s="104">
        <v>19.309999999999999</v>
      </c>
      <c r="J16" s="75">
        <v>19.350000000000001</v>
      </c>
      <c r="K16" s="75">
        <v>19.2</v>
      </c>
      <c r="L16" s="75">
        <v>-0.55800000000000005</v>
      </c>
      <c r="M16" s="75">
        <v>-2.2490000000000001</v>
      </c>
      <c r="N16" s="105">
        <v>-0.99399999999999999</v>
      </c>
      <c r="O16" s="104">
        <v>35</v>
      </c>
      <c r="P16" s="75">
        <v>35.159999999999997</v>
      </c>
      <c r="Q16" s="75">
        <v>35.130000000000003</v>
      </c>
      <c r="R16" s="75">
        <v>-1.2769999999999999</v>
      </c>
      <c r="S16" s="75">
        <v>-0.52900000000000003</v>
      </c>
      <c r="T16" s="105">
        <v>-0.68300000000000005</v>
      </c>
      <c r="U16" s="104">
        <v>34.74</v>
      </c>
      <c r="V16" s="75">
        <v>34.82</v>
      </c>
      <c r="W16" s="75">
        <v>34.799999999999997</v>
      </c>
      <c r="X16" s="75">
        <v>-2.8980000000000001</v>
      </c>
      <c r="Y16" s="75">
        <v>-2.5030000000000001</v>
      </c>
      <c r="Z16" s="105">
        <v>-2.2490000000000001</v>
      </c>
      <c r="AA16" s="104">
        <v>19.37</v>
      </c>
      <c r="AB16" s="75">
        <v>19.36</v>
      </c>
      <c r="AC16" s="75">
        <v>19.25</v>
      </c>
      <c r="AD16" s="75">
        <v>-1.421</v>
      </c>
      <c r="AE16" s="75">
        <v>-2.1669999999999998</v>
      </c>
      <c r="AF16" s="105">
        <v>-1.2869999999999999</v>
      </c>
    </row>
    <row r="17" spans="2:32" x14ac:dyDescent="0.3">
      <c r="B17" s="111">
        <v>2</v>
      </c>
      <c r="C17" s="104">
        <v>19.34</v>
      </c>
      <c r="D17" s="75">
        <v>19.399999999999999</v>
      </c>
      <c r="E17" s="75">
        <v>19.28</v>
      </c>
      <c r="F17" s="75">
        <v>-0.61299999999999999</v>
      </c>
      <c r="G17" s="75">
        <v>-2.1549999999999998</v>
      </c>
      <c r="H17" s="105">
        <v>-1.1559999999999999</v>
      </c>
      <c r="I17" s="104">
        <v>19.23</v>
      </c>
      <c r="J17" s="75">
        <v>19.27</v>
      </c>
      <c r="K17" s="75">
        <v>19.14</v>
      </c>
      <c r="L17" s="75">
        <v>-0.78500000000000003</v>
      </c>
      <c r="M17" s="75">
        <v>-2.0089999999999999</v>
      </c>
      <c r="N17" s="105">
        <v>-0.92700000000000005</v>
      </c>
      <c r="O17" s="104">
        <v>34.979999999999997</v>
      </c>
      <c r="P17" s="75">
        <v>35.19</v>
      </c>
      <c r="Q17" s="75">
        <v>35.130000000000003</v>
      </c>
      <c r="R17" s="75">
        <v>-1.6</v>
      </c>
      <c r="S17" s="75">
        <v>-0.65200000000000002</v>
      </c>
      <c r="T17" s="105">
        <v>-0.71399999999999997</v>
      </c>
      <c r="U17" s="104">
        <v>34.64</v>
      </c>
      <c r="V17" s="75">
        <v>34.729999999999997</v>
      </c>
      <c r="W17" s="75">
        <v>34.71</v>
      </c>
      <c r="X17" s="75">
        <v>-2.645</v>
      </c>
      <c r="Y17" s="75">
        <v>-2.5230000000000001</v>
      </c>
      <c r="Z17" s="105">
        <v>-3.1339999999999999</v>
      </c>
      <c r="AA17" s="104">
        <v>19.29</v>
      </c>
      <c r="AB17" s="75">
        <v>19.29</v>
      </c>
      <c r="AC17" s="75">
        <v>19.18</v>
      </c>
      <c r="AD17" s="75">
        <v>-1.1679999999999999</v>
      </c>
      <c r="AE17" s="75">
        <v>-2.0209999999999999</v>
      </c>
      <c r="AF17" s="105">
        <v>-1.389</v>
      </c>
    </row>
    <row r="18" spans="2:32" x14ac:dyDescent="0.3">
      <c r="B18" s="111">
        <v>2.1666666666666665</v>
      </c>
      <c r="C18" s="104">
        <v>19.260000000000002</v>
      </c>
      <c r="D18" s="75">
        <v>19.32</v>
      </c>
      <c r="E18" s="75">
        <v>19.22</v>
      </c>
      <c r="F18" s="75">
        <v>-0.749</v>
      </c>
      <c r="G18" s="75">
        <v>-2.081</v>
      </c>
      <c r="H18" s="105">
        <v>-1.407</v>
      </c>
      <c r="I18" s="104">
        <v>19.16</v>
      </c>
      <c r="J18" s="75">
        <v>19.190000000000001</v>
      </c>
      <c r="K18" s="75">
        <v>19.07</v>
      </c>
      <c r="L18" s="75">
        <v>-0.51600000000000001</v>
      </c>
      <c r="M18" s="75">
        <v>-2.036</v>
      </c>
      <c r="N18" s="105">
        <v>-0.88200000000000001</v>
      </c>
      <c r="O18" s="104">
        <v>34.92</v>
      </c>
      <c r="P18" s="75">
        <v>35.049999999999997</v>
      </c>
      <c r="Q18" s="75">
        <v>35.03</v>
      </c>
      <c r="R18" s="75">
        <v>-1.2</v>
      </c>
      <c r="S18" s="75">
        <v>-1.681</v>
      </c>
      <c r="T18" s="105">
        <v>-1.839</v>
      </c>
      <c r="U18" s="104">
        <v>34.57</v>
      </c>
      <c r="V18" s="75">
        <v>34.659999999999997</v>
      </c>
      <c r="W18" s="75">
        <v>34.630000000000003</v>
      </c>
      <c r="X18" s="75">
        <v>-2.48</v>
      </c>
      <c r="Y18" s="75">
        <v>-2.5920000000000001</v>
      </c>
      <c r="Z18" s="105">
        <v>-3.0950000000000002</v>
      </c>
      <c r="AA18" s="104">
        <v>19.21</v>
      </c>
      <c r="AB18" s="75">
        <v>19.21</v>
      </c>
      <c r="AC18" s="75">
        <v>19.12</v>
      </c>
      <c r="AD18" s="75">
        <v>-1.264</v>
      </c>
      <c r="AE18" s="75">
        <v>-1.925</v>
      </c>
      <c r="AF18" s="105">
        <v>-1.552</v>
      </c>
    </row>
    <row r="19" spans="2:32" x14ac:dyDescent="0.3">
      <c r="B19" s="111">
        <v>2.333333333333333</v>
      </c>
      <c r="C19" s="104">
        <v>19.18</v>
      </c>
      <c r="D19" s="75">
        <v>19.25</v>
      </c>
      <c r="E19" s="75">
        <v>19.13</v>
      </c>
      <c r="F19" s="75">
        <v>-0.65700000000000003</v>
      </c>
      <c r="G19" s="75">
        <v>-2.0070000000000001</v>
      </c>
      <c r="H19" s="105">
        <v>-1.8680000000000001</v>
      </c>
      <c r="I19" s="104">
        <v>19.09</v>
      </c>
      <c r="J19" s="75">
        <v>19.12</v>
      </c>
      <c r="K19" s="75">
        <v>18.989999999999998</v>
      </c>
      <c r="L19" s="75">
        <v>-0.53700000000000003</v>
      </c>
      <c r="M19" s="75">
        <v>-1.923</v>
      </c>
      <c r="N19" s="105">
        <v>-1.1040000000000001</v>
      </c>
      <c r="O19" s="104">
        <v>34.86</v>
      </c>
      <c r="P19" s="75">
        <v>34.979999999999997</v>
      </c>
      <c r="Q19" s="75">
        <v>34.97</v>
      </c>
      <c r="R19" s="75">
        <v>-1.361</v>
      </c>
      <c r="S19" s="75">
        <v>-1.694</v>
      </c>
      <c r="T19" s="105">
        <v>-1.9650000000000001</v>
      </c>
      <c r="U19" s="104">
        <v>34.51</v>
      </c>
      <c r="V19" s="75">
        <v>34.590000000000003</v>
      </c>
      <c r="W19" s="75">
        <v>34.58</v>
      </c>
      <c r="X19" s="75">
        <v>-2.8860000000000001</v>
      </c>
      <c r="Y19" s="75">
        <v>-2.5249999999999999</v>
      </c>
      <c r="Z19" s="105">
        <v>-3.1360000000000001</v>
      </c>
      <c r="AA19" s="104">
        <v>19.14</v>
      </c>
      <c r="AB19" s="75">
        <v>19.13</v>
      </c>
      <c r="AC19" s="75">
        <v>19.03</v>
      </c>
      <c r="AD19" s="75">
        <v>-0.96899999999999997</v>
      </c>
      <c r="AE19" s="75">
        <v>-1.8660000000000001</v>
      </c>
      <c r="AF19" s="105">
        <v>-1.988</v>
      </c>
    </row>
    <row r="20" spans="2:32" x14ac:dyDescent="0.3">
      <c r="B20" s="111">
        <v>2.4999999999999996</v>
      </c>
      <c r="C20" s="104">
        <v>19.11</v>
      </c>
      <c r="D20" s="75">
        <v>19.16</v>
      </c>
      <c r="E20" s="75">
        <v>19.04</v>
      </c>
      <c r="F20" s="75">
        <v>-0.438</v>
      </c>
      <c r="G20" s="75">
        <v>-2.2930000000000001</v>
      </c>
      <c r="H20" s="105">
        <v>-1.9890000000000001</v>
      </c>
      <c r="I20" s="104">
        <v>19.02</v>
      </c>
      <c r="J20" s="75">
        <v>19.03</v>
      </c>
      <c r="K20" s="75">
        <v>18.899999999999999</v>
      </c>
      <c r="L20" s="75">
        <v>-0.45700000000000002</v>
      </c>
      <c r="M20" s="75">
        <v>-1.7949999999999999</v>
      </c>
      <c r="N20" s="105">
        <v>-1.7869999999999999</v>
      </c>
      <c r="O20" s="104">
        <v>34.78</v>
      </c>
      <c r="P20" s="75">
        <v>34.909999999999997</v>
      </c>
      <c r="Q20" s="75">
        <v>34.909999999999997</v>
      </c>
      <c r="R20" s="75">
        <v>-1.329</v>
      </c>
      <c r="S20" s="75">
        <v>-1.68</v>
      </c>
      <c r="T20" s="105">
        <v>-1.9139999999999999</v>
      </c>
      <c r="U20" s="104">
        <v>34.450000000000003</v>
      </c>
      <c r="V20" s="75">
        <v>34.520000000000003</v>
      </c>
      <c r="W20" s="75">
        <v>34.51</v>
      </c>
      <c r="X20" s="75">
        <v>-2.5499999999999998</v>
      </c>
      <c r="Y20" s="75">
        <v>-2.8119999999999998</v>
      </c>
      <c r="Z20" s="105">
        <v>-3.0840000000000001</v>
      </c>
      <c r="AA20" s="104">
        <v>19.07</v>
      </c>
      <c r="AB20" s="75">
        <v>19.04</v>
      </c>
      <c r="AC20" s="75">
        <v>18.940000000000001</v>
      </c>
      <c r="AD20" s="75">
        <v>-0.64100000000000001</v>
      </c>
      <c r="AE20" s="75">
        <v>-2.2090000000000001</v>
      </c>
      <c r="AF20" s="105">
        <v>-2.0819999999999999</v>
      </c>
    </row>
    <row r="21" spans="2:32" x14ac:dyDescent="0.3">
      <c r="B21" s="111">
        <v>2.6666666666666661</v>
      </c>
      <c r="C21" s="104">
        <v>19.04</v>
      </c>
      <c r="D21" s="75">
        <v>19.059999999999999</v>
      </c>
      <c r="E21" s="75">
        <v>18.97</v>
      </c>
      <c r="F21" s="75">
        <v>-0.65500000000000003</v>
      </c>
      <c r="G21" s="75">
        <v>-2.1629999999999998</v>
      </c>
      <c r="H21" s="105">
        <v>-1.948</v>
      </c>
      <c r="I21" s="104">
        <v>18.96</v>
      </c>
      <c r="J21" s="75">
        <v>18.93</v>
      </c>
      <c r="K21" s="75">
        <v>18.82</v>
      </c>
      <c r="L21" s="75">
        <v>-0.12</v>
      </c>
      <c r="M21" s="75">
        <v>-2.2730000000000001</v>
      </c>
      <c r="N21" s="105">
        <v>-1.879</v>
      </c>
      <c r="O21" s="104">
        <v>34.729999999999997</v>
      </c>
      <c r="P21" s="75">
        <v>34.840000000000003</v>
      </c>
      <c r="Q21" s="75">
        <v>34.85</v>
      </c>
      <c r="R21" s="75">
        <v>-1.33</v>
      </c>
      <c r="S21" s="75">
        <v>-1.4430000000000001</v>
      </c>
      <c r="T21" s="105">
        <v>-1.7070000000000001</v>
      </c>
      <c r="U21" s="104">
        <v>34.39</v>
      </c>
      <c r="V21" s="75">
        <v>34.46</v>
      </c>
      <c r="W21" s="75">
        <v>34.450000000000003</v>
      </c>
      <c r="X21" s="75">
        <v>-2.823</v>
      </c>
      <c r="Y21" s="75">
        <v>-2.5030000000000001</v>
      </c>
      <c r="Z21" s="105">
        <v>-3.1139999999999999</v>
      </c>
      <c r="AA21" s="104">
        <v>19</v>
      </c>
      <c r="AB21" s="75">
        <v>18.95</v>
      </c>
      <c r="AC21" s="75">
        <v>18.86</v>
      </c>
      <c r="AD21" s="75">
        <v>-0.80600000000000005</v>
      </c>
      <c r="AE21" s="75">
        <v>-2.0910000000000002</v>
      </c>
      <c r="AF21" s="105">
        <v>-1.972</v>
      </c>
    </row>
    <row r="22" spans="2:32" x14ac:dyDescent="0.3">
      <c r="B22" s="111">
        <v>2.8333333333333326</v>
      </c>
      <c r="C22" s="104">
        <v>18.98</v>
      </c>
      <c r="D22" s="75">
        <v>18.97</v>
      </c>
      <c r="E22" s="75">
        <v>18.899999999999999</v>
      </c>
      <c r="F22" s="75">
        <v>-0.60699999999999998</v>
      </c>
      <c r="G22" s="75">
        <v>-1.5</v>
      </c>
      <c r="H22" s="105">
        <v>-2.4140000000000001</v>
      </c>
      <c r="I22" s="104">
        <v>18.899999999999999</v>
      </c>
      <c r="J22" s="75">
        <v>18.850000000000001</v>
      </c>
      <c r="K22" s="75">
        <v>18.75</v>
      </c>
      <c r="L22" s="75">
        <v>-0.31</v>
      </c>
      <c r="M22" s="75">
        <v>-1.92</v>
      </c>
      <c r="N22" s="105">
        <v>-1.6040000000000001</v>
      </c>
      <c r="O22" s="104">
        <v>34.68</v>
      </c>
      <c r="P22" s="75">
        <v>34.78</v>
      </c>
      <c r="Q22" s="75">
        <v>34.770000000000003</v>
      </c>
      <c r="R22" s="75">
        <v>-1.329</v>
      </c>
      <c r="S22" s="75">
        <v>-1.6679999999999999</v>
      </c>
      <c r="T22" s="105">
        <v>-1.9179999999999999</v>
      </c>
      <c r="U22" s="104">
        <v>34.340000000000003</v>
      </c>
      <c r="V22" s="75">
        <v>34.4</v>
      </c>
      <c r="W22" s="75">
        <v>34.380000000000003</v>
      </c>
      <c r="X22" s="75">
        <v>-2.794</v>
      </c>
      <c r="Y22" s="75">
        <v>-2.4180000000000001</v>
      </c>
      <c r="Z22" s="105">
        <v>-2.9470000000000001</v>
      </c>
      <c r="AA22" s="104">
        <v>18.920000000000002</v>
      </c>
      <c r="AB22" s="75">
        <v>18.86</v>
      </c>
      <c r="AC22" s="75">
        <v>18.78</v>
      </c>
      <c r="AD22" s="75">
        <v>-0.65700000000000003</v>
      </c>
      <c r="AE22" s="75">
        <v>-1.4650000000000001</v>
      </c>
      <c r="AF22" s="105">
        <v>-2.355</v>
      </c>
    </row>
    <row r="23" spans="2:32" x14ac:dyDescent="0.3">
      <c r="B23" s="111">
        <v>2.9999999999999991</v>
      </c>
      <c r="C23" s="104">
        <v>18.91</v>
      </c>
      <c r="D23" s="75">
        <v>18.87</v>
      </c>
      <c r="E23" s="75">
        <v>18.829999999999998</v>
      </c>
      <c r="F23" s="75">
        <v>-0.64800000000000002</v>
      </c>
      <c r="G23" s="75">
        <v>-1.401</v>
      </c>
      <c r="H23" s="105">
        <v>-1.86</v>
      </c>
      <c r="I23" s="104">
        <v>18.829999999999998</v>
      </c>
      <c r="J23" s="75">
        <v>18.739999999999998</v>
      </c>
      <c r="K23" s="75">
        <v>18.690000000000001</v>
      </c>
      <c r="L23" s="75">
        <v>-0.26500000000000001</v>
      </c>
      <c r="M23" s="75">
        <v>-1.282</v>
      </c>
      <c r="N23" s="105">
        <v>-2.085</v>
      </c>
      <c r="O23" s="104">
        <v>34.6</v>
      </c>
      <c r="P23" s="75">
        <v>34.69</v>
      </c>
      <c r="Q23" s="75">
        <v>34.68</v>
      </c>
      <c r="R23" s="75">
        <v>-1.3660000000000001</v>
      </c>
      <c r="S23" s="75">
        <v>-1.677</v>
      </c>
      <c r="T23" s="105">
        <v>-1.7470000000000001</v>
      </c>
      <c r="U23" s="104">
        <v>34.270000000000003</v>
      </c>
      <c r="V23" s="75">
        <v>34.31</v>
      </c>
      <c r="W23" s="75">
        <v>34.299999999999997</v>
      </c>
      <c r="X23" s="75">
        <v>-3.3180000000000001</v>
      </c>
      <c r="Y23" s="75">
        <v>-2.5059999999999998</v>
      </c>
      <c r="Z23" s="105">
        <v>-3.117</v>
      </c>
      <c r="AA23" s="104">
        <v>18.850000000000001</v>
      </c>
      <c r="AB23" s="75">
        <v>18.760000000000002</v>
      </c>
      <c r="AC23" s="75">
        <v>18.72</v>
      </c>
      <c r="AD23" s="75">
        <v>-0.60499999999999998</v>
      </c>
      <c r="AE23" s="75">
        <v>-1.51</v>
      </c>
      <c r="AF23" s="105">
        <v>-1.667</v>
      </c>
    </row>
    <row r="24" spans="2:32" x14ac:dyDescent="0.3">
      <c r="B24" s="111">
        <v>3.1666666666666656</v>
      </c>
      <c r="C24" s="104">
        <v>18.84</v>
      </c>
      <c r="D24" s="75">
        <v>18.78</v>
      </c>
      <c r="E24" s="75">
        <v>18.75</v>
      </c>
      <c r="F24" s="75">
        <v>-0.71399999999999997</v>
      </c>
      <c r="G24" s="75">
        <v>-1.381</v>
      </c>
      <c r="H24" s="105">
        <v>-1.504</v>
      </c>
      <c r="I24" s="104">
        <v>18.77</v>
      </c>
      <c r="J24" s="75">
        <v>18.649999999999999</v>
      </c>
      <c r="K24" s="75">
        <v>18.62</v>
      </c>
      <c r="L24" s="75">
        <v>-0.35399999999999998</v>
      </c>
      <c r="M24" s="75">
        <v>-1.302</v>
      </c>
      <c r="N24" s="105">
        <v>-1.601</v>
      </c>
      <c r="O24" s="104">
        <v>34.53</v>
      </c>
      <c r="P24" s="75">
        <v>34.590000000000003</v>
      </c>
      <c r="Q24" s="75">
        <v>34.6</v>
      </c>
      <c r="R24" s="75">
        <v>-1.359</v>
      </c>
      <c r="S24" s="75">
        <v>-1.663</v>
      </c>
      <c r="T24" s="105">
        <v>-1.7809999999999999</v>
      </c>
      <c r="U24" s="104">
        <v>34.200000000000003</v>
      </c>
      <c r="V24" s="75">
        <v>34.229999999999997</v>
      </c>
      <c r="W24" s="75">
        <v>34.22</v>
      </c>
      <c r="X24" s="75">
        <v>-3.044</v>
      </c>
      <c r="Y24" s="75">
        <v>-2.4889999999999999</v>
      </c>
      <c r="Z24" s="105">
        <v>-3.1</v>
      </c>
      <c r="AA24" s="104">
        <v>18.77</v>
      </c>
      <c r="AB24" s="75">
        <v>18.68</v>
      </c>
      <c r="AC24" s="75">
        <v>18.64</v>
      </c>
      <c r="AD24" s="75">
        <v>-0.60699999999999998</v>
      </c>
      <c r="AE24" s="75">
        <v>-1.5469999999999999</v>
      </c>
      <c r="AF24" s="105">
        <v>-1.371</v>
      </c>
    </row>
    <row r="25" spans="2:32" x14ac:dyDescent="0.3">
      <c r="B25" s="111">
        <v>3.3333333333333321</v>
      </c>
      <c r="C25" s="104">
        <v>18.760000000000002</v>
      </c>
      <c r="D25" s="75">
        <v>18.71</v>
      </c>
      <c r="E25" s="75">
        <v>18.66</v>
      </c>
      <c r="F25" s="75">
        <v>-0.95699999999999996</v>
      </c>
      <c r="G25" s="75">
        <v>-1.1299999999999999</v>
      </c>
      <c r="H25" s="105">
        <v>-1.456</v>
      </c>
      <c r="I25" s="104">
        <v>18.7</v>
      </c>
      <c r="J25" s="75">
        <v>18.579999999999998</v>
      </c>
      <c r="K25" s="75">
        <v>18.53</v>
      </c>
      <c r="L25" s="75">
        <v>-0.51600000000000001</v>
      </c>
      <c r="M25" s="75">
        <v>-1.3420000000000001</v>
      </c>
      <c r="N25" s="105">
        <v>-1.2829999999999999</v>
      </c>
      <c r="O25" s="104">
        <v>34.46</v>
      </c>
      <c r="P25" s="75">
        <v>34.520000000000003</v>
      </c>
      <c r="Q25" s="75">
        <v>34.520000000000003</v>
      </c>
      <c r="R25" s="75">
        <v>-1.29</v>
      </c>
      <c r="S25" s="75">
        <v>-1.599</v>
      </c>
      <c r="T25" s="105">
        <v>-1.8</v>
      </c>
      <c r="U25" s="104">
        <v>34.14</v>
      </c>
      <c r="V25" s="75">
        <v>34.159999999999997</v>
      </c>
      <c r="W25" s="75">
        <v>34.14</v>
      </c>
      <c r="X25" s="75">
        <v>-3.1389999999999998</v>
      </c>
      <c r="Y25" s="75">
        <v>-2.3769999999999998</v>
      </c>
      <c r="Z25" s="105">
        <v>-2.69</v>
      </c>
      <c r="AA25" s="104">
        <v>18.7</v>
      </c>
      <c r="AB25" s="75">
        <v>18.600000000000001</v>
      </c>
      <c r="AC25" s="75">
        <v>18.55</v>
      </c>
      <c r="AD25" s="75">
        <v>-0.78</v>
      </c>
      <c r="AE25" s="75">
        <v>-1.246</v>
      </c>
      <c r="AF25" s="105">
        <v>-1.474</v>
      </c>
    </row>
    <row r="26" spans="2:32" x14ac:dyDescent="0.3">
      <c r="B26" s="111">
        <v>3.4999999999999987</v>
      </c>
      <c r="C26" s="104">
        <v>18.690000000000001</v>
      </c>
      <c r="D26" s="75">
        <v>18.649999999999999</v>
      </c>
      <c r="E26" s="75">
        <v>18.579999999999998</v>
      </c>
      <c r="F26" s="75">
        <v>-0.89100000000000001</v>
      </c>
      <c r="G26" s="75">
        <v>-1.069</v>
      </c>
      <c r="H26" s="105">
        <v>-1.2789999999999999</v>
      </c>
      <c r="I26" s="104">
        <v>18.63</v>
      </c>
      <c r="J26" s="75">
        <v>18.5</v>
      </c>
      <c r="K26" s="75">
        <v>18.440000000000001</v>
      </c>
      <c r="L26" s="75">
        <v>-0.79100000000000004</v>
      </c>
      <c r="M26" s="75">
        <v>-0.92100000000000004</v>
      </c>
      <c r="N26" s="105">
        <v>-1.3520000000000001</v>
      </c>
      <c r="O26" s="104">
        <v>34.380000000000003</v>
      </c>
      <c r="P26" s="75">
        <v>34.450000000000003</v>
      </c>
      <c r="Q26" s="75">
        <v>34.450000000000003</v>
      </c>
      <c r="R26" s="75">
        <v>-1.2789999999999999</v>
      </c>
      <c r="S26" s="75">
        <v>-1.724</v>
      </c>
      <c r="T26" s="105">
        <v>-1.677</v>
      </c>
      <c r="U26" s="104">
        <v>34.06</v>
      </c>
      <c r="V26" s="75">
        <v>34.08</v>
      </c>
      <c r="W26" s="75">
        <v>34.07</v>
      </c>
      <c r="X26" s="75">
        <v>-3.2570000000000001</v>
      </c>
      <c r="Y26" s="75">
        <v>-2.492</v>
      </c>
      <c r="Z26" s="105">
        <v>-3.1030000000000002</v>
      </c>
      <c r="AA26" s="104">
        <v>18.63</v>
      </c>
      <c r="AB26" s="75">
        <v>18.54</v>
      </c>
      <c r="AC26" s="75">
        <v>18.47</v>
      </c>
      <c r="AD26" s="75">
        <v>-0.66100000000000003</v>
      </c>
      <c r="AE26" s="75">
        <v>-1.198</v>
      </c>
      <c r="AF26" s="105">
        <v>-1.415</v>
      </c>
    </row>
    <row r="27" spans="2:32" x14ac:dyDescent="0.3">
      <c r="B27" s="111">
        <v>3.6666666666666652</v>
      </c>
      <c r="C27" s="104">
        <v>18.62</v>
      </c>
      <c r="D27" s="75">
        <v>18.57</v>
      </c>
      <c r="E27" s="75">
        <v>18.5</v>
      </c>
      <c r="F27" s="75">
        <v>-0.88900000000000001</v>
      </c>
      <c r="G27" s="75">
        <v>-1.538</v>
      </c>
      <c r="H27" s="105">
        <v>-1.1679999999999999</v>
      </c>
      <c r="I27" s="104">
        <v>18.559999999999999</v>
      </c>
      <c r="J27" s="75">
        <v>18.43</v>
      </c>
      <c r="K27" s="75">
        <v>18.37</v>
      </c>
      <c r="L27" s="75">
        <v>-0.72399999999999998</v>
      </c>
      <c r="M27" s="75">
        <v>-0.871</v>
      </c>
      <c r="N27" s="105">
        <v>-1.304</v>
      </c>
      <c r="O27" s="104">
        <v>34.32</v>
      </c>
      <c r="P27" s="75">
        <v>34.380000000000003</v>
      </c>
      <c r="Q27" s="75">
        <v>34.380000000000003</v>
      </c>
      <c r="R27" s="75">
        <v>-1.43</v>
      </c>
      <c r="S27" s="75">
        <v>-1.669</v>
      </c>
      <c r="T27" s="105">
        <v>-1.903</v>
      </c>
      <c r="U27" s="104">
        <v>34</v>
      </c>
      <c r="V27" s="75">
        <v>34.020000000000003</v>
      </c>
      <c r="W27" s="75">
        <v>34.01</v>
      </c>
      <c r="X27" s="75">
        <v>-2.73</v>
      </c>
      <c r="Y27" s="75">
        <v>-2.9929999999999999</v>
      </c>
      <c r="Z27" s="105">
        <v>-2.952</v>
      </c>
      <c r="AA27" s="104">
        <v>18.559999999999999</v>
      </c>
      <c r="AB27" s="75">
        <v>18.46</v>
      </c>
      <c r="AC27" s="75">
        <v>18.399999999999999</v>
      </c>
      <c r="AD27" s="75">
        <v>-0.64900000000000002</v>
      </c>
      <c r="AE27" s="75">
        <v>-1.569</v>
      </c>
      <c r="AF27" s="105">
        <v>-1.24</v>
      </c>
    </row>
    <row r="28" spans="2:32" x14ac:dyDescent="0.3">
      <c r="B28" s="111">
        <v>3.8333333333333317</v>
      </c>
      <c r="C28" s="104">
        <v>18.55</v>
      </c>
      <c r="D28" s="75">
        <v>18.52</v>
      </c>
      <c r="E28" s="75">
        <v>18.440000000000001</v>
      </c>
      <c r="F28" s="75">
        <v>-1.0029999999999999</v>
      </c>
      <c r="G28" s="75">
        <v>-1.411</v>
      </c>
      <c r="H28" s="105">
        <v>-1.4870000000000001</v>
      </c>
      <c r="I28" s="104">
        <v>18.489999999999998</v>
      </c>
      <c r="J28" s="75">
        <v>18.38</v>
      </c>
      <c r="K28" s="75">
        <v>18.3</v>
      </c>
      <c r="L28" s="75">
        <v>-0.8</v>
      </c>
      <c r="M28" s="75">
        <v>-1.1519999999999999</v>
      </c>
      <c r="N28" s="105">
        <v>-0.89300000000000002</v>
      </c>
      <c r="O28" s="104">
        <v>34.25</v>
      </c>
      <c r="P28" s="75">
        <v>34.32</v>
      </c>
      <c r="Q28" s="75">
        <v>34.32</v>
      </c>
      <c r="R28" s="75">
        <v>-1.141</v>
      </c>
      <c r="S28" s="75">
        <v>-1.548</v>
      </c>
      <c r="T28" s="105">
        <v>-2.1379999999999999</v>
      </c>
      <c r="U28" s="104">
        <v>33.94</v>
      </c>
      <c r="V28" s="75">
        <v>33.96</v>
      </c>
      <c r="W28" s="75">
        <v>33.94</v>
      </c>
      <c r="X28" s="75">
        <v>-3.1339999999999999</v>
      </c>
      <c r="Y28" s="75">
        <v>-2.4940000000000002</v>
      </c>
      <c r="Z28" s="105">
        <v>-3.105</v>
      </c>
      <c r="AA28" s="104">
        <v>18.48</v>
      </c>
      <c r="AB28" s="75">
        <v>18.41</v>
      </c>
      <c r="AC28" s="75">
        <v>18.329999999999998</v>
      </c>
      <c r="AD28" s="75">
        <v>-0.70299999999999996</v>
      </c>
      <c r="AE28" s="75">
        <v>-1.395</v>
      </c>
      <c r="AF28" s="105">
        <v>-1.5469999999999999</v>
      </c>
    </row>
    <row r="29" spans="2:32" x14ac:dyDescent="0.3">
      <c r="B29" s="111">
        <v>3.9999999999999982</v>
      </c>
      <c r="C29" s="104">
        <v>18.47</v>
      </c>
      <c r="D29" s="75">
        <v>18.46</v>
      </c>
      <c r="E29" s="75">
        <v>18.37</v>
      </c>
      <c r="F29" s="75">
        <v>-1.0469999999999999</v>
      </c>
      <c r="G29" s="75">
        <v>-1.6439999999999999</v>
      </c>
      <c r="H29" s="105">
        <v>-1.4750000000000001</v>
      </c>
      <c r="I29" s="104">
        <v>18.41</v>
      </c>
      <c r="J29" s="75">
        <v>18.32</v>
      </c>
      <c r="K29" s="75">
        <v>18.23</v>
      </c>
      <c r="L29" s="75">
        <v>-0.88200000000000001</v>
      </c>
      <c r="M29" s="75">
        <v>-0.96799999999999997</v>
      </c>
      <c r="N29" s="105">
        <v>-1.296</v>
      </c>
      <c r="O29" s="104">
        <v>34.18</v>
      </c>
      <c r="P29" s="75">
        <v>34.25</v>
      </c>
      <c r="Q29" s="75">
        <v>34.24</v>
      </c>
      <c r="R29" s="75">
        <v>-1.3620000000000001</v>
      </c>
      <c r="S29" s="75">
        <v>-1.5649999999999999</v>
      </c>
      <c r="T29" s="105">
        <v>-1.867</v>
      </c>
      <c r="U29" s="104">
        <v>33.869999999999997</v>
      </c>
      <c r="V29" s="75">
        <v>33.9</v>
      </c>
      <c r="W29" s="75">
        <v>33.869999999999997</v>
      </c>
      <c r="X29" s="75">
        <v>-2.6819999999999999</v>
      </c>
      <c r="Y29" s="75">
        <v>-2.5209999999999999</v>
      </c>
      <c r="Z29" s="105">
        <v>-3.5049999999999999</v>
      </c>
      <c r="AA29" s="104">
        <v>18.399999999999999</v>
      </c>
      <c r="AB29" s="75">
        <v>18.34</v>
      </c>
      <c r="AC29" s="75">
        <v>18.260000000000002</v>
      </c>
      <c r="AD29" s="75">
        <v>-0.75</v>
      </c>
      <c r="AE29" s="75">
        <v>-1.5449999999999999</v>
      </c>
      <c r="AF29" s="105">
        <v>-1.4790000000000001</v>
      </c>
    </row>
    <row r="30" spans="2:32" x14ac:dyDescent="0.3">
      <c r="B30" s="111">
        <v>4.1666666666666652</v>
      </c>
      <c r="C30" s="104">
        <v>18.399999999999999</v>
      </c>
      <c r="D30" s="75">
        <v>18.38</v>
      </c>
      <c r="E30" s="75">
        <v>18.3</v>
      </c>
      <c r="F30" s="75">
        <v>-1.081</v>
      </c>
      <c r="G30" s="75">
        <v>-2.0219999999999998</v>
      </c>
      <c r="H30" s="105">
        <v>-1.335</v>
      </c>
      <c r="I30" s="104">
        <v>18.34</v>
      </c>
      <c r="J30" s="75">
        <v>18.25</v>
      </c>
      <c r="K30" s="75">
        <v>18.16</v>
      </c>
      <c r="L30" s="75">
        <v>-0.95499999999999996</v>
      </c>
      <c r="M30" s="75">
        <v>-1.343</v>
      </c>
      <c r="N30" s="105">
        <v>-1.2470000000000001</v>
      </c>
      <c r="O30" s="104">
        <v>34.11</v>
      </c>
      <c r="P30" s="75">
        <v>34.19</v>
      </c>
      <c r="Q30" s="75">
        <v>34.17</v>
      </c>
      <c r="R30" s="75">
        <v>-1.3540000000000001</v>
      </c>
      <c r="S30" s="75">
        <v>-1.7410000000000001</v>
      </c>
      <c r="T30" s="105">
        <v>-1.8819999999999999</v>
      </c>
      <c r="U30" s="104">
        <v>33.81</v>
      </c>
      <c r="V30" s="75">
        <v>33.840000000000003</v>
      </c>
      <c r="W30" s="75">
        <v>33.799999999999997</v>
      </c>
      <c r="X30" s="75">
        <v>-2.8359999999999999</v>
      </c>
      <c r="Y30" s="75">
        <v>-2.496</v>
      </c>
      <c r="Z30" s="105">
        <v>-3.1070000000000002</v>
      </c>
      <c r="AA30" s="104">
        <v>18.32</v>
      </c>
      <c r="AB30" s="75">
        <v>18.27</v>
      </c>
      <c r="AC30" s="75">
        <v>18.190000000000001</v>
      </c>
      <c r="AD30" s="75">
        <v>-0.78500000000000003</v>
      </c>
      <c r="AE30" s="75">
        <v>-1.8620000000000001</v>
      </c>
      <c r="AF30" s="105">
        <v>-1.3149999999999999</v>
      </c>
    </row>
    <row r="31" spans="2:32" x14ac:dyDescent="0.3">
      <c r="B31" s="111">
        <v>4.3333333333333321</v>
      </c>
      <c r="C31" s="104">
        <v>18.329999999999998</v>
      </c>
      <c r="D31" s="75">
        <v>18.329999999999998</v>
      </c>
      <c r="E31" s="75">
        <v>18.23</v>
      </c>
      <c r="F31" s="75">
        <v>-1.107</v>
      </c>
      <c r="G31" s="75">
        <v>-2.036</v>
      </c>
      <c r="H31" s="105">
        <v>-1.2330000000000001</v>
      </c>
      <c r="I31" s="104">
        <v>18.260000000000002</v>
      </c>
      <c r="J31" s="75">
        <v>18.190000000000001</v>
      </c>
      <c r="K31" s="75">
        <v>18.079999999999998</v>
      </c>
      <c r="L31" s="75">
        <v>-1.0089999999999999</v>
      </c>
      <c r="M31" s="75">
        <v>-1.5580000000000001</v>
      </c>
      <c r="N31" s="105">
        <v>-1.1120000000000001</v>
      </c>
      <c r="O31" s="104">
        <v>34.04</v>
      </c>
      <c r="P31" s="75">
        <v>34.119999999999997</v>
      </c>
      <c r="Q31" s="75">
        <v>34.1</v>
      </c>
      <c r="R31" s="75">
        <v>-1.39</v>
      </c>
      <c r="S31" s="75">
        <v>-1.6919999999999999</v>
      </c>
      <c r="T31" s="105">
        <v>-1.732</v>
      </c>
      <c r="U31" s="104">
        <v>33.74</v>
      </c>
      <c r="V31" s="75">
        <v>33.770000000000003</v>
      </c>
      <c r="W31" s="75">
        <v>33.729999999999997</v>
      </c>
      <c r="X31" s="75">
        <v>-2.4969999999999999</v>
      </c>
      <c r="Y31" s="75">
        <v>-2.1890000000000001</v>
      </c>
      <c r="Z31" s="105">
        <v>-3.016</v>
      </c>
      <c r="AA31" s="104">
        <v>18.25</v>
      </c>
      <c r="AB31" s="75">
        <v>18.2</v>
      </c>
      <c r="AC31" s="75">
        <v>18.12</v>
      </c>
      <c r="AD31" s="75">
        <v>-0.81299999999999994</v>
      </c>
      <c r="AE31" s="75">
        <v>-1.8140000000000001</v>
      </c>
      <c r="AF31" s="105">
        <v>-1.2170000000000001</v>
      </c>
    </row>
    <row r="32" spans="2:32" x14ac:dyDescent="0.3">
      <c r="B32" s="111">
        <v>4.4999999999999991</v>
      </c>
      <c r="C32" s="104">
        <v>18.25</v>
      </c>
      <c r="D32" s="75">
        <v>18.27</v>
      </c>
      <c r="E32" s="75">
        <v>18.16</v>
      </c>
      <c r="F32" s="75">
        <v>-1</v>
      </c>
      <c r="G32" s="75">
        <v>-1.7030000000000001</v>
      </c>
      <c r="H32" s="105">
        <v>-1.5269999999999999</v>
      </c>
      <c r="I32" s="104">
        <v>18.190000000000001</v>
      </c>
      <c r="J32" s="75">
        <v>18.13</v>
      </c>
      <c r="K32" s="75">
        <v>18.02</v>
      </c>
      <c r="L32" s="75">
        <v>-1.2030000000000001</v>
      </c>
      <c r="M32" s="75">
        <v>-1.671</v>
      </c>
      <c r="N32" s="105">
        <v>-0.93200000000000005</v>
      </c>
      <c r="O32" s="104">
        <v>33.979999999999997</v>
      </c>
      <c r="P32" s="75">
        <v>34.049999999999997</v>
      </c>
      <c r="Q32" s="75">
        <v>34.020000000000003</v>
      </c>
      <c r="R32" s="75">
        <v>-1.05</v>
      </c>
      <c r="S32" s="75">
        <v>-1.6060000000000001</v>
      </c>
      <c r="T32" s="105">
        <v>-1.903</v>
      </c>
      <c r="U32" s="104">
        <v>33.68</v>
      </c>
      <c r="V32" s="75">
        <v>33.700000000000003</v>
      </c>
      <c r="W32" s="75">
        <v>33.659999999999997</v>
      </c>
      <c r="X32" s="75">
        <v>-2.69</v>
      </c>
      <c r="Y32" s="75">
        <v>-2.4990000000000001</v>
      </c>
      <c r="Z32" s="105">
        <v>-3.11</v>
      </c>
      <c r="AA32" s="104">
        <v>18.170000000000002</v>
      </c>
      <c r="AB32" s="75">
        <v>18.14</v>
      </c>
      <c r="AC32" s="75">
        <v>18.05</v>
      </c>
      <c r="AD32" s="75">
        <v>-0.63700000000000001</v>
      </c>
      <c r="AE32" s="75">
        <v>-1.38</v>
      </c>
      <c r="AF32" s="105">
        <v>-1.417</v>
      </c>
    </row>
    <row r="33" spans="2:32" x14ac:dyDescent="0.3">
      <c r="B33" s="111">
        <v>4.6666666666666661</v>
      </c>
      <c r="C33" s="104">
        <v>18.149999999999999</v>
      </c>
      <c r="D33" s="75">
        <v>18.18</v>
      </c>
      <c r="E33" s="75">
        <v>18.100000000000001</v>
      </c>
      <c r="F33" s="75">
        <v>-1.31</v>
      </c>
      <c r="G33" s="75">
        <v>-1.5820000000000001</v>
      </c>
      <c r="H33" s="105">
        <v>-1.601</v>
      </c>
      <c r="I33" s="104">
        <v>18.100000000000001</v>
      </c>
      <c r="J33" s="75">
        <v>18.059999999999999</v>
      </c>
      <c r="K33" s="75">
        <v>17.95</v>
      </c>
      <c r="L33" s="75">
        <v>-0.72899999999999998</v>
      </c>
      <c r="M33" s="75">
        <v>-1.321</v>
      </c>
      <c r="N33" s="105">
        <v>-1.075</v>
      </c>
      <c r="O33" s="104">
        <v>33.92</v>
      </c>
      <c r="P33" s="75">
        <v>33.979999999999997</v>
      </c>
      <c r="Q33" s="75">
        <v>33.950000000000003</v>
      </c>
      <c r="R33" s="75">
        <v>-1.4950000000000001</v>
      </c>
      <c r="S33" s="75">
        <v>-1.6879999999999999</v>
      </c>
      <c r="T33" s="105">
        <v>-1.59</v>
      </c>
      <c r="U33" s="104">
        <v>33.619999999999997</v>
      </c>
      <c r="V33" s="75">
        <v>33.64</v>
      </c>
      <c r="W33" s="75">
        <v>33.590000000000003</v>
      </c>
      <c r="X33" s="75">
        <v>-2.8980000000000001</v>
      </c>
      <c r="Y33" s="75">
        <v>-3.1909999999999998</v>
      </c>
      <c r="Z33" s="105">
        <v>-3.0059999999999998</v>
      </c>
      <c r="AA33" s="104">
        <v>18.079999999999998</v>
      </c>
      <c r="AB33" s="75">
        <v>18.07</v>
      </c>
      <c r="AC33" s="75">
        <v>17.98</v>
      </c>
      <c r="AD33" s="75">
        <v>-1.022</v>
      </c>
      <c r="AE33" s="75">
        <v>-1.4350000000000001</v>
      </c>
      <c r="AF33" s="105">
        <v>-1.472</v>
      </c>
    </row>
    <row r="34" spans="2:32" x14ac:dyDescent="0.3">
      <c r="B34" s="111">
        <v>4.833333333333333</v>
      </c>
      <c r="C34" s="104">
        <v>18.079999999999998</v>
      </c>
      <c r="D34" s="75">
        <v>18.09</v>
      </c>
      <c r="E34" s="75">
        <v>18</v>
      </c>
      <c r="F34" s="75">
        <v>-0.58199999999999996</v>
      </c>
      <c r="G34" s="75">
        <v>-1.569</v>
      </c>
      <c r="H34" s="105">
        <v>-1.9670000000000001</v>
      </c>
      <c r="I34" s="104">
        <v>18.03</v>
      </c>
      <c r="J34" s="75">
        <v>17.97</v>
      </c>
      <c r="K34" s="75">
        <v>17.87</v>
      </c>
      <c r="L34" s="75">
        <v>-1.1060000000000001</v>
      </c>
      <c r="M34" s="75">
        <v>-1.351</v>
      </c>
      <c r="N34" s="105">
        <v>-1.141</v>
      </c>
      <c r="O34" s="104">
        <v>33.86</v>
      </c>
      <c r="P34" s="75">
        <v>33.92</v>
      </c>
      <c r="Q34" s="75">
        <v>33.880000000000003</v>
      </c>
      <c r="R34" s="75">
        <v>-1.5549999999999999</v>
      </c>
      <c r="S34" s="75">
        <v>-1.6930000000000001</v>
      </c>
      <c r="T34" s="105">
        <v>-1.909</v>
      </c>
      <c r="U34" s="104">
        <v>33.56</v>
      </c>
      <c r="V34" s="75">
        <v>33.57</v>
      </c>
      <c r="W34" s="75">
        <v>33.520000000000003</v>
      </c>
      <c r="X34" s="75">
        <v>-3.0950000000000002</v>
      </c>
      <c r="Y34" s="75">
        <v>-2.5009999999999999</v>
      </c>
      <c r="Z34" s="105">
        <v>-3.1120000000000001</v>
      </c>
      <c r="AA34" s="104">
        <v>18.010000000000002</v>
      </c>
      <c r="AB34" s="75">
        <v>17.98</v>
      </c>
      <c r="AC34" s="75">
        <v>17.89</v>
      </c>
      <c r="AD34" s="75">
        <v>-0.311</v>
      </c>
      <c r="AE34" s="75">
        <v>-1.502</v>
      </c>
      <c r="AF34" s="105">
        <v>-1.8620000000000001</v>
      </c>
    </row>
    <row r="35" spans="2:32" x14ac:dyDescent="0.3">
      <c r="B35" s="111">
        <v>5</v>
      </c>
      <c r="C35" s="104">
        <v>18.03</v>
      </c>
      <c r="D35" s="75">
        <v>17.989999999999998</v>
      </c>
      <c r="E35" s="75">
        <v>17.920000000000002</v>
      </c>
      <c r="F35" s="75">
        <v>-0.47</v>
      </c>
      <c r="G35" s="75">
        <v>-1.8640000000000001</v>
      </c>
      <c r="H35" s="105">
        <v>-1.837</v>
      </c>
      <c r="I35" s="104">
        <v>17.97</v>
      </c>
      <c r="J35" s="75">
        <v>17.86</v>
      </c>
      <c r="K35" s="75">
        <v>17.79</v>
      </c>
      <c r="L35" s="75">
        <v>-0.40400000000000003</v>
      </c>
      <c r="M35" s="75">
        <v>-1.4530000000000001</v>
      </c>
      <c r="N35" s="105">
        <v>-1.6120000000000001</v>
      </c>
      <c r="O35" s="104">
        <v>33.79</v>
      </c>
      <c r="P35" s="75">
        <v>33.85</v>
      </c>
      <c r="Q35" s="75">
        <v>33.81</v>
      </c>
      <c r="R35" s="75">
        <v>-1.266</v>
      </c>
      <c r="S35" s="75">
        <v>-1.7749999999999999</v>
      </c>
      <c r="T35" s="105">
        <v>-1.968</v>
      </c>
      <c r="U35" s="104">
        <v>33.5</v>
      </c>
      <c r="V35" s="75">
        <v>33.520000000000003</v>
      </c>
      <c r="W35" s="75">
        <v>33.46</v>
      </c>
      <c r="X35" s="75">
        <v>-2.8959999999999999</v>
      </c>
      <c r="Y35" s="75">
        <v>-2.129</v>
      </c>
      <c r="Z35" s="105">
        <v>-3.2919999999999998</v>
      </c>
      <c r="AA35" s="104">
        <v>17.96</v>
      </c>
      <c r="AB35" s="75">
        <v>17.87</v>
      </c>
      <c r="AC35" s="75">
        <v>17.809999999999999</v>
      </c>
      <c r="AD35" s="75">
        <v>-0.158</v>
      </c>
      <c r="AE35" s="75">
        <v>-1.86</v>
      </c>
      <c r="AF35" s="105">
        <v>-1.7410000000000001</v>
      </c>
    </row>
    <row r="36" spans="2:32" x14ac:dyDescent="0.3">
      <c r="B36" s="111">
        <v>5.166666666666667</v>
      </c>
      <c r="C36" s="104">
        <v>17.940000000000001</v>
      </c>
      <c r="D36" s="75">
        <v>17.899999999999999</v>
      </c>
      <c r="E36" s="75">
        <v>17.84</v>
      </c>
      <c r="F36" s="75">
        <v>-1.1140000000000001</v>
      </c>
      <c r="G36" s="75">
        <v>-1.494</v>
      </c>
      <c r="H36" s="105">
        <v>-1.831</v>
      </c>
      <c r="I36" s="104">
        <v>17.89</v>
      </c>
      <c r="J36" s="75">
        <v>17.77</v>
      </c>
      <c r="K36" s="75">
        <v>17.71</v>
      </c>
      <c r="L36" s="75">
        <v>-0.27100000000000002</v>
      </c>
      <c r="M36" s="75">
        <v>-1.788</v>
      </c>
      <c r="N36" s="105">
        <v>-1.5069999999999999</v>
      </c>
      <c r="O36" s="104">
        <v>33.74</v>
      </c>
      <c r="P36" s="75">
        <v>33.79</v>
      </c>
      <c r="Q36" s="75">
        <v>33.75</v>
      </c>
      <c r="R36" s="75">
        <v>-1.165</v>
      </c>
      <c r="S36" s="75">
        <v>-1.4850000000000001</v>
      </c>
      <c r="T36" s="105">
        <v>-1.9730000000000001</v>
      </c>
      <c r="U36" s="104">
        <v>33.450000000000003</v>
      </c>
      <c r="V36" s="75">
        <v>33.450000000000003</v>
      </c>
      <c r="W36" s="75">
        <v>33.4</v>
      </c>
      <c r="X36" s="75">
        <v>-2.577</v>
      </c>
      <c r="Y36" s="75">
        <v>-2.5030000000000001</v>
      </c>
      <c r="Z36" s="105">
        <v>-3.1139999999999999</v>
      </c>
      <c r="AA36" s="104">
        <v>17.87</v>
      </c>
      <c r="AB36" s="75">
        <v>17.79</v>
      </c>
      <c r="AC36" s="75">
        <v>17.72</v>
      </c>
      <c r="AD36" s="75">
        <v>-0.82899999999999996</v>
      </c>
      <c r="AE36" s="75">
        <v>-1.4410000000000001</v>
      </c>
      <c r="AF36" s="105">
        <v>-1.704</v>
      </c>
    </row>
    <row r="37" spans="2:32" x14ac:dyDescent="0.3">
      <c r="B37" s="111">
        <v>5.3333333333333339</v>
      </c>
      <c r="C37" s="104">
        <v>17.850000000000001</v>
      </c>
      <c r="D37" s="75">
        <v>17.829999999999998</v>
      </c>
      <c r="E37" s="75">
        <v>17.77</v>
      </c>
      <c r="F37" s="75">
        <v>-1.07</v>
      </c>
      <c r="G37" s="75">
        <v>-1.5289999999999999</v>
      </c>
      <c r="H37" s="105">
        <v>-1.4790000000000001</v>
      </c>
      <c r="I37" s="104">
        <v>17.809999999999999</v>
      </c>
      <c r="J37" s="75">
        <v>17.7</v>
      </c>
      <c r="K37" s="75">
        <v>17.64</v>
      </c>
      <c r="L37" s="75">
        <v>-0.96699999999999997</v>
      </c>
      <c r="M37" s="75">
        <v>-1.2090000000000001</v>
      </c>
      <c r="N37" s="105">
        <v>-1.4710000000000001</v>
      </c>
      <c r="O37" s="104">
        <v>33.659999999999997</v>
      </c>
      <c r="P37" s="75">
        <v>33.72</v>
      </c>
      <c r="Q37" s="75">
        <v>33.68</v>
      </c>
      <c r="R37" s="75">
        <v>-1.179</v>
      </c>
      <c r="S37" s="75">
        <v>-1.5209999999999999</v>
      </c>
      <c r="T37" s="105">
        <v>-1.8919999999999999</v>
      </c>
      <c r="U37" s="104">
        <v>33.380000000000003</v>
      </c>
      <c r="V37" s="75">
        <v>33.39</v>
      </c>
      <c r="W37" s="75">
        <v>33.33</v>
      </c>
      <c r="X37" s="75">
        <v>-2.6320000000000001</v>
      </c>
      <c r="Y37" s="75">
        <v>-2.4609999999999999</v>
      </c>
      <c r="Z37" s="105">
        <v>-3.0510000000000002</v>
      </c>
      <c r="AA37" s="104">
        <v>17.78</v>
      </c>
      <c r="AB37" s="75">
        <v>17.72</v>
      </c>
      <c r="AC37" s="75">
        <v>17.649999999999999</v>
      </c>
      <c r="AD37" s="75">
        <v>-0.79400000000000004</v>
      </c>
      <c r="AE37" s="75">
        <v>-1.419</v>
      </c>
      <c r="AF37" s="105">
        <v>-1.321</v>
      </c>
    </row>
    <row r="38" spans="2:32" x14ac:dyDescent="0.3">
      <c r="B38" s="111">
        <v>5.5000000000000009</v>
      </c>
      <c r="C38" s="104">
        <v>17.77</v>
      </c>
      <c r="D38" s="75">
        <v>17.760000000000002</v>
      </c>
      <c r="E38" s="75">
        <v>17.7</v>
      </c>
      <c r="F38" s="75">
        <v>-1.1299999999999999</v>
      </c>
      <c r="G38" s="75">
        <v>-1.571</v>
      </c>
      <c r="H38" s="105">
        <v>-1.5880000000000001</v>
      </c>
      <c r="I38" s="104">
        <v>17.72</v>
      </c>
      <c r="J38" s="75">
        <v>17.63</v>
      </c>
      <c r="K38" s="75">
        <v>17.57</v>
      </c>
      <c r="L38" s="75">
        <v>-0.92800000000000005</v>
      </c>
      <c r="M38" s="75">
        <v>-1.06</v>
      </c>
      <c r="N38" s="105">
        <v>-1.0589999999999999</v>
      </c>
      <c r="O38" s="104">
        <v>33.590000000000003</v>
      </c>
      <c r="P38" s="75">
        <v>33.619999999999997</v>
      </c>
      <c r="Q38" s="75">
        <v>33.590000000000003</v>
      </c>
      <c r="R38" s="75">
        <v>-1.329</v>
      </c>
      <c r="S38" s="75">
        <v>-1.5329999999999999</v>
      </c>
      <c r="T38" s="105">
        <v>-1.837</v>
      </c>
      <c r="U38" s="104">
        <v>33.31</v>
      </c>
      <c r="V38" s="75">
        <v>33.299999999999997</v>
      </c>
      <c r="W38" s="75">
        <v>33.24</v>
      </c>
      <c r="X38" s="75">
        <v>-3.028</v>
      </c>
      <c r="Y38" s="75">
        <v>-2.5059999999999998</v>
      </c>
      <c r="Z38" s="105">
        <v>-3.117</v>
      </c>
      <c r="AA38" s="104">
        <v>17.7</v>
      </c>
      <c r="AB38" s="75">
        <v>17.649999999999999</v>
      </c>
      <c r="AC38" s="75">
        <v>17.579999999999998</v>
      </c>
      <c r="AD38" s="75">
        <v>-0.878</v>
      </c>
      <c r="AE38" s="75">
        <v>-1.44</v>
      </c>
      <c r="AF38" s="105">
        <v>-1.385</v>
      </c>
    </row>
    <row r="39" spans="2:32" x14ac:dyDescent="0.3">
      <c r="B39" s="111">
        <v>5.6666666666666679</v>
      </c>
      <c r="C39" s="104">
        <v>17.690000000000001</v>
      </c>
      <c r="D39" s="75">
        <v>17.690000000000001</v>
      </c>
      <c r="E39" s="75">
        <v>17.63</v>
      </c>
      <c r="F39" s="75">
        <v>-1.1970000000000001</v>
      </c>
      <c r="G39" s="75">
        <v>-1.59</v>
      </c>
      <c r="H39" s="105">
        <v>-1.6719999999999999</v>
      </c>
      <c r="I39" s="104">
        <v>17.649999999999999</v>
      </c>
      <c r="J39" s="75">
        <v>17.559999999999999</v>
      </c>
      <c r="K39" s="75">
        <v>17.489999999999998</v>
      </c>
      <c r="L39" s="75">
        <v>-1.0309999999999999</v>
      </c>
      <c r="M39" s="75">
        <v>-1.1279999999999999</v>
      </c>
      <c r="N39" s="105">
        <v>-1.169</v>
      </c>
      <c r="O39" s="104">
        <v>33.520000000000003</v>
      </c>
      <c r="P39" s="75">
        <v>33.54</v>
      </c>
      <c r="Q39" s="75">
        <v>33.51</v>
      </c>
      <c r="R39" s="75">
        <v>-1.4550000000000001</v>
      </c>
      <c r="S39" s="75">
        <v>-1.83</v>
      </c>
      <c r="T39" s="105">
        <v>-1.8049999999999999</v>
      </c>
      <c r="U39" s="104">
        <v>33.24</v>
      </c>
      <c r="V39" s="75">
        <v>33.22</v>
      </c>
      <c r="W39" s="75">
        <v>33.17</v>
      </c>
      <c r="X39" s="75">
        <v>-2.9060000000000001</v>
      </c>
      <c r="Y39" s="75">
        <v>-2.895</v>
      </c>
      <c r="Z39" s="105">
        <v>-3.266</v>
      </c>
      <c r="AA39" s="104">
        <v>17.62</v>
      </c>
      <c r="AB39" s="75">
        <v>17.57</v>
      </c>
      <c r="AC39" s="75">
        <v>17.5</v>
      </c>
      <c r="AD39" s="75">
        <v>-0.89500000000000002</v>
      </c>
      <c r="AE39" s="75">
        <v>-1.4670000000000001</v>
      </c>
      <c r="AF39" s="105">
        <v>-1.417</v>
      </c>
    </row>
    <row r="40" spans="2:32" x14ac:dyDescent="0.3">
      <c r="B40" s="111">
        <v>5.8333333333333348</v>
      </c>
      <c r="C40" s="104">
        <v>17.62</v>
      </c>
      <c r="D40" s="75">
        <v>17.62</v>
      </c>
      <c r="E40" s="75">
        <v>17.559999999999999</v>
      </c>
      <c r="F40" s="75">
        <v>-1.085</v>
      </c>
      <c r="G40" s="75">
        <v>-1.44</v>
      </c>
      <c r="H40" s="105">
        <v>-1.458</v>
      </c>
      <c r="I40" s="104">
        <v>17.57</v>
      </c>
      <c r="J40" s="75">
        <v>17.489999999999998</v>
      </c>
      <c r="K40" s="75">
        <v>17.420000000000002</v>
      </c>
      <c r="L40" s="75">
        <v>-1.083</v>
      </c>
      <c r="M40" s="75">
        <v>-1.109</v>
      </c>
      <c r="N40" s="105">
        <v>-1.1870000000000001</v>
      </c>
      <c r="O40" s="104">
        <v>33.450000000000003</v>
      </c>
      <c r="P40" s="75">
        <v>33.47</v>
      </c>
      <c r="Q40" s="75">
        <v>33.44</v>
      </c>
      <c r="R40" s="75">
        <v>-1.3</v>
      </c>
      <c r="S40" s="75">
        <v>-1.5209999999999999</v>
      </c>
      <c r="T40" s="105">
        <v>-1.7849999999999999</v>
      </c>
      <c r="U40" s="104">
        <v>33.18</v>
      </c>
      <c r="V40" s="75">
        <v>33.15</v>
      </c>
      <c r="W40" s="75">
        <v>33.1</v>
      </c>
      <c r="X40" s="75">
        <v>-2.9089999999999998</v>
      </c>
      <c r="Y40" s="75">
        <v>-2.508</v>
      </c>
      <c r="Z40" s="105">
        <v>-3.1190000000000002</v>
      </c>
      <c r="AA40" s="104">
        <v>17.54</v>
      </c>
      <c r="AB40" s="75">
        <v>17.5</v>
      </c>
      <c r="AC40" s="75">
        <v>17.43</v>
      </c>
      <c r="AD40" s="75">
        <v>-0.77400000000000002</v>
      </c>
      <c r="AE40" s="75">
        <v>-1.228</v>
      </c>
      <c r="AF40" s="105">
        <v>-1.137</v>
      </c>
    </row>
    <row r="41" spans="2:32" x14ac:dyDescent="0.3">
      <c r="B41" s="111">
        <v>6.0000000000000018</v>
      </c>
      <c r="C41" s="104">
        <v>17.55</v>
      </c>
      <c r="D41" s="75">
        <v>17.55</v>
      </c>
      <c r="E41" s="75">
        <v>17.489999999999998</v>
      </c>
      <c r="F41" s="75">
        <v>-1.0660000000000001</v>
      </c>
      <c r="G41" s="75">
        <v>-1.601</v>
      </c>
      <c r="H41" s="105">
        <v>-1.4570000000000001</v>
      </c>
      <c r="I41" s="104">
        <v>17.5</v>
      </c>
      <c r="J41" s="75">
        <v>17.43</v>
      </c>
      <c r="K41" s="75">
        <v>17.36</v>
      </c>
      <c r="L41" s="75">
        <v>-0.96</v>
      </c>
      <c r="M41" s="75">
        <v>-0.82399999999999995</v>
      </c>
      <c r="N41" s="105">
        <v>-0.91500000000000004</v>
      </c>
      <c r="O41" s="104">
        <v>33.369999999999997</v>
      </c>
      <c r="P41" s="75">
        <v>33.39</v>
      </c>
      <c r="Q41" s="75">
        <v>33.36</v>
      </c>
      <c r="R41" s="75">
        <v>-1.343</v>
      </c>
      <c r="S41" s="75">
        <v>-1.627</v>
      </c>
      <c r="T41" s="105">
        <v>-1.9</v>
      </c>
      <c r="U41" s="104">
        <v>33.1</v>
      </c>
      <c r="V41" s="75">
        <v>33.07</v>
      </c>
      <c r="W41" s="75">
        <v>33.03</v>
      </c>
      <c r="X41" s="75">
        <v>-3.1339999999999999</v>
      </c>
      <c r="Y41" s="75">
        <v>-1.9450000000000001</v>
      </c>
      <c r="Z41" s="105">
        <v>-2.7679999999999998</v>
      </c>
      <c r="AA41" s="104">
        <v>17.47</v>
      </c>
      <c r="AB41" s="75">
        <v>17.43</v>
      </c>
      <c r="AC41" s="75">
        <v>17.37</v>
      </c>
      <c r="AD41" s="75">
        <v>-0.73099999999999998</v>
      </c>
      <c r="AE41" s="75">
        <v>-1.3620000000000001</v>
      </c>
      <c r="AF41" s="105">
        <v>-1.113</v>
      </c>
    </row>
    <row r="42" spans="2:32" x14ac:dyDescent="0.3">
      <c r="B42" s="111">
        <v>6.1666666666666687</v>
      </c>
      <c r="C42" s="104">
        <v>17.48</v>
      </c>
      <c r="D42" s="75">
        <v>17.48</v>
      </c>
      <c r="E42" s="75">
        <v>17.420000000000002</v>
      </c>
      <c r="F42" s="75">
        <v>-0.98499999999999999</v>
      </c>
      <c r="G42" s="75">
        <v>-1.7030000000000001</v>
      </c>
      <c r="H42" s="105">
        <v>-1.552</v>
      </c>
      <c r="I42" s="104">
        <v>17.43</v>
      </c>
      <c r="J42" s="75">
        <v>17.350000000000001</v>
      </c>
      <c r="K42" s="75">
        <v>17.29</v>
      </c>
      <c r="L42" s="75">
        <v>-0.93799999999999994</v>
      </c>
      <c r="M42" s="75">
        <v>-1.206</v>
      </c>
      <c r="N42" s="105">
        <v>-0.94099999999999995</v>
      </c>
      <c r="O42" s="104">
        <v>33.299999999999997</v>
      </c>
      <c r="P42" s="75">
        <v>33.32</v>
      </c>
      <c r="Q42" s="75">
        <v>33.29</v>
      </c>
      <c r="R42" s="75">
        <v>-1.3919999999999999</v>
      </c>
      <c r="S42" s="75">
        <v>-1.7609999999999999</v>
      </c>
      <c r="T42" s="105">
        <v>-1.8580000000000001</v>
      </c>
      <c r="U42" s="104">
        <v>33.04</v>
      </c>
      <c r="V42" s="75">
        <v>33</v>
      </c>
      <c r="W42" s="75">
        <v>32.96</v>
      </c>
      <c r="X42" s="75">
        <v>-3.024</v>
      </c>
      <c r="Y42" s="75">
        <v>-2.5110000000000001</v>
      </c>
      <c r="Z42" s="105">
        <v>-3.1219999999999999</v>
      </c>
      <c r="AA42" s="104">
        <v>17.399999999999999</v>
      </c>
      <c r="AB42" s="75">
        <v>17.36</v>
      </c>
      <c r="AC42" s="75">
        <v>17.3</v>
      </c>
      <c r="AD42" s="75">
        <v>-0.60799999999999998</v>
      </c>
      <c r="AE42" s="75">
        <v>-1.492</v>
      </c>
      <c r="AF42" s="105">
        <v>-1.194</v>
      </c>
    </row>
    <row r="43" spans="2:32" x14ac:dyDescent="0.3">
      <c r="B43" s="111">
        <v>6.3333333333333357</v>
      </c>
      <c r="C43" s="104">
        <v>17.41</v>
      </c>
      <c r="D43" s="75">
        <v>17.399999999999999</v>
      </c>
      <c r="E43" s="75">
        <v>17.350000000000001</v>
      </c>
      <c r="F43" s="75">
        <v>-1.23</v>
      </c>
      <c r="G43" s="75">
        <v>-1.7310000000000001</v>
      </c>
      <c r="H43" s="105">
        <v>-1.6850000000000001</v>
      </c>
      <c r="I43" s="104">
        <v>17.36</v>
      </c>
      <c r="J43" s="75">
        <v>17.28</v>
      </c>
      <c r="K43" s="75">
        <v>17.22</v>
      </c>
      <c r="L43" s="75">
        <v>-0.80700000000000005</v>
      </c>
      <c r="M43" s="75">
        <v>-1.3640000000000001</v>
      </c>
      <c r="N43" s="105">
        <v>-1.0920000000000001</v>
      </c>
      <c r="O43" s="104">
        <v>33.229999999999997</v>
      </c>
      <c r="P43" s="75">
        <v>33.25</v>
      </c>
      <c r="Q43" s="75">
        <v>33.229999999999997</v>
      </c>
      <c r="R43" s="75">
        <v>-1.4370000000000001</v>
      </c>
      <c r="S43" s="75">
        <v>-1.8080000000000001</v>
      </c>
      <c r="T43" s="105">
        <v>-1.9950000000000001</v>
      </c>
      <c r="U43" s="104">
        <v>32.96</v>
      </c>
      <c r="V43" s="75">
        <v>32.94</v>
      </c>
      <c r="W43" s="75">
        <v>32.9</v>
      </c>
      <c r="X43" s="75">
        <v>-3.1739999999999999</v>
      </c>
      <c r="Y43" s="75">
        <v>-2.6309999999999998</v>
      </c>
      <c r="Z43" s="105">
        <v>-2.9239999999999999</v>
      </c>
      <c r="AA43" s="104">
        <v>17.329999999999998</v>
      </c>
      <c r="AB43" s="75">
        <v>17.28</v>
      </c>
      <c r="AC43" s="75">
        <v>17.22</v>
      </c>
      <c r="AD43" s="75">
        <v>-0.876</v>
      </c>
      <c r="AE43" s="75">
        <v>-1.4570000000000001</v>
      </c>
      <c r="AF43" s="105">
        <v>-1.246</v>
      </c>
    </row>
    <row r="44" spans="2:32" x14ac:dyDescent="0.3">
      <c r="B44" s="111">
        <v>6.5000000000000027</v>
      </c>
      <c r="C44" s="104">
        <v>17.34</v>
      </c>
      <c r="D44" s="75">
        <v>17.329999999999998</v>
      </c>
      <c r="E44" s="75">
        <v>17.27</v>
      </c>
      <c r="F44" s="75">
        <v>-1.1180000000000001</v>
      </c>
      <c r="G44" s="75">
        <v>-1.631</v>
      </c>
      <c r="H44" s="105">
        <v>-1.7829999999999999</v>
      </c>
      <c r="I44" s="104">
        <v>17.29</v>
      </c>
      <c r="J44" s="75">
        <v>17.21</v>
      </c>
      <c r="K44" s="75">
        <v>17.149999999999999</v>
      </c>
      <c r="L44" s="75">
        <v>-1.091</v>
      </c>
      <c r="M44" s="75">
        <v>-1.226</v>
      </c>
      <c r="N44" s="105">
        <v>-1.0900000000000001</v>
      </c>
      <c r="O44" s="104">
        <v>33.15</v>
      </c>
      <c r="P44" s="75">
        <v>33.18</v>
      </c>
      <c r="Q44" s="75">
        <v>33.17</v>
      </c>
      <c r="R44" s="75">
        <v>-1.371</v>
      </c>
      <c r="S44" s="75">
        <v>-1.6879999999999999</v>
      </c>
      <c r="T44" s="105">
        <v>-1.9350000000000001</v>
      </c>
      <c r="U44" s="104">
        <v>32.89</v>
      </c>
      <c r="V44" s="75">
        <v>32.869999999999997</v>
      </c>
      <c r="W44" s="75">
        <v>32.840000000000003</v>
      </c>
      <c r="X44" s="75">
        <v>-2.6360000000000001</v>
      </c>
      <c r="Y44" s="75">
        <v>-2.5129999999999999</v>
      </c>
      <c r="Z44" s="105">
        <v>-3.1240000000000001</v>
      </c>
      <c r="AA44" s="104">
        <v>17.260000000000002</v>
      </c>
      <c r="AB44" s="75">
        <v>17.21</v>
      </c>
      <c r="AC44" s="75">
        <v>17.14</v>
      </c>
      <c r="AD44" s="75">
        <v>-0.68799999999999994</v>
      </c>
      <c r="AE44" s="75">
        <v>-1.3440000000000001</v>
      </c>
      <c r="AF44" s="105">
        <v>-1.2609999999999999</v>
      </c>
    </row>
    <row r="45" spans="2:32" x14ac:dyDescent="0.3">
      <c r="B45" s="111">
        <v>6.6666666666666696</v>
      </c>
      <c r="C45" s="104">
        <v>17.28</v>
      </c>
      <c r="D45" s="75">
        <v>17.260000000000002</v>
      </c>
      <c r="E45" s="75">
        <v>17.2</v>
      </c>
      <c r="F45" s="75">
        <v>-1.03</v>
      </c>
      <c r="G45" s="75">
        <v>-1.716</v>
      </c>
      <c r="H45" s="105">
        <v>-1.5529999999999999</v>
      </c>
      <c r="I45" s="104">
        <v>17.23</v>
      </c>
      <c r="J45" s="75">
        <v>17.14</v>
      </c>
      <c r="K45" s="75">
        <v>17.079999999999998</v>
      </c>
      <c r="L45" s="75">
        <v>-0.95599999999999996</v>
      </c>
      <c r="M45" s="75">
        <v>-1.175</v>
      </c>
      <c r="N45" s="105">
        <v>-1.119</v>
      </c>
      <c r="O45" s="104">
        <v>33.08</v>
      </c>
      <c r="P45" s="75">
        <v>33.1</v>
      </c>
      <c r="Q45" s="75">
        <v>33.090000000000003</v>
      </c>
      <c r="R45" s="75">
        <v>-1.294</v>
      </c>
      <c r="S45" s="75">
        <v>-1.6180000000000001</v>
      </c>
      <c r="T45" s="105">
        <v>-1.907</v>
      </c>
      <c r="U45" s="104">
        <v>32.82</v>
      </c>
      <c r="V45" s="75">
        <v>32.79</v>
      </c>
      <c r="W45" s="75">
        <v>32.770000000000003</v>
      </c>
      <c r="X45" s="75">
        <v>-2.964</v>
      </c>
      <c r="Y45" s="75">
        <v>-2.7149999999999999</v>
      </c>
      <c r="Z45" s="105">
        <v>-2.7719999999999998</v>
      </c>
      <c r="AA45" s="104">
        <v>17.2</v>
      </c>
      <c r="AB45" s="75">
        <v>17.13</v>
      </c>
      <c r="AC45" s="75">
        <v>17.07</v>
      </c>
      <c r="AD45" s="75">
        <v>-0.58599999999999997</v>
      </c>
      <c r="AE45" s="75">
        <v>-1.3720000000000001</v>
      </c>
      <c r="AF45" s="105">
        <v>-0.88900000000000001</v>
      </c>
    </row>
    <row r="46" spans="2:32" x14ac:dyDescent="0.3">
      <c r="B46" s="111">
        <v>6.8333333333333366</v>
      </c>
      <c r="C46" s="104">
        <v>17.22</v>
      </c>
      <c r="D46" s="75">
        <v>17.190000000000001</v>
      </c>
      <c r="E46" s="75">
        <v>17.13</v>
      </c>
      <c r="F46" s="75">
        <v>-1.0329999999999999</v>
      </c>
      <c r="G46" s="75">
        <v>-1.629</v>
      </c>
      <c r="H46" s="105">
        <v>-1.65</v>
      </c>
      <c r="I46" s="104">
        <v>17.170000000000002</v>
      </c>
      <c r="J46" s="75">
        <v>17.059999999999999</v>
      </c>
      <c r="K46" s="75">
        <v>17.010000000000002</v>
      </c>
      <c r="L46" s="75">
        <v>-0.83399999999999996</v>
      </c>
      <c r="M46" s="75">
        <v>-1.222</v>
      </c>
      <c r="N46" s="105">
        <v>-0.78600000000000003</v>
      </c>
      <c r="O46" s="104">
        <v>33.01</v>
      </c>
      <c r="P46" s="75">
        <v>33.020000000000003</v>
      </c>
      <c r="Q46" s="75">
        <v>33.03</v>
      </c>
      <c r="R46" s="75">
        <v>-1.3420000000000001</v>
      </c>
      <c r="S46" s="75">
        <v>-1.7490000000000001</v>
      </c>
      <c r="T46" s="105">
        <v>-1.8859999999999999</v>
      </c>
      <c r="U46" s="104">
        <v>32.76</v>
      </c>
      <c r="V46" s="75">
        <v>32.72</v>
      </c>
      <c r="W46" s="75">
        <v>32.71</v>
      </c>
      <c r="X46" s="75">
        <v>-3.15</v>
      </c>
      <c r="Y46" s="75">
        <v>-2.5150000000000001</v>
      </c>
      <c r="Z46" s="105">
        <v>-3.1259999999999999</v>
      </c>
      <c r="AA46" s="104">
        <v>17.14</v>
      </c>
      <c r="AB46" s="75">
        <v>17.059999999999999</v>
      </c>
      <c r="AC46" s="75">
        <v>17</v>
      </c>
      <c r="AD46" s="75">
        <v>-0.6</v>
      </c>
      <c r="AE46" s="75">
        <v>-1.2829999999999999</v>
      </c>
      <c r="AF46" s="105">
        <v>-0.91300000000000003</v>
      </c>
    </row>
    <row r="47" spans="2:32" x14ac:dyDescent="0.3">
      <c r="B47" s="111">
        <v>7.0000000000000036</v>
      </c>
      <c r="C47" s="104">
        <v>17.149999999999999</v>
      </c>
      <c r="D47" s="75">
        <v>17.12</v>
      </c>
      <c r="E47" s="75">
        <v>17.05</v>
      </c>
      <c r="F47" s="75">
        <v>-1.171</v>
      </c>
      <c r="G47" s="75">
        <v>-1.4019999999999999</v>
      </c>
      <c r="H47" s="105">
        <v>-1.589</v>
      </c>
      <c r="I47" s="104">
        <v>17.100000000000001</v>
      </c>
      <c r="J47" s="75">
        <v>17</v>
      </c>
      <c r="K47" s="75">
        <v>16.940000000000001</v>
      </c>
      <c r="L47" s="75">
        <v>-0.82899999999999996</v>
      </c>
      <c r="M47" s="75">
        <v>-1.0529999999999999</v>
      </c>
      <c r="N47" s="105">
        <v>-0.877</v>
      </c>
      <c r="O47" s="104">
        <v>32.93</v>
      </c>
      <c r="P47" s="75">
        <v>32.950000000000003</v>
      </c>
      <c r="Q47" s="75">
        <v>32.96</v>
      </c>
      <c r="R47" s="75">
        <v>-1.34</v>
      </c>
      <c r="S47" s="75">
        <v>-1.7330000000000001</v>
      </c>
      <c r="T47" s="105">
        <v>-1.917</v>
      </c>
      <c r="U47" s="104">
        <v>32.69</v>
      </c>
      <c r="V47" s="75">
        <v>32.65</v>
      </c>
      <c r="W47" s="75">
        <v>32.64</v>
      </c>
      <c r="X47" s="75">
        <v>-3.0059999999999998</v>
      </c>
      <c r="Y47" s="75">
        <v>-2.8370000000000002</v>
      </c>
      <c r="Z47" s="105">
        <v>-2.6989999999999998</v>
      </c>
      <c r="AA47" s="104">
        <v>17.07</v>
      </c>
      <c r="AB47" s="75">
        <v>16.989999999999998</v>
      </c>
      <c r="AC47" s="75">
        <v>16.920000000000002</v>
      </c>
      <c r="AD47" s="75">
        <v>-0.71699999999999997</v>
      </c>
      <c r="AE47" s="75">
        <v>-1.018</v>
      </c>
      <c r="AF47" s="105">
        <v>-0.75600000000000001</v>
      </c>
    </row>
    <row r="48" spans="2:32" x14ac:dyDescent="0.3">
      <c r="B48" s="111">
        <v>7.1666666666666705</v>
      </c>
      <c r="C48" s="104">
        <v>17.079999999999998</v>
      </c>
      <c r="D48" s="75">
        <v>17.05</v>
      </c>
      <c r="E48" s="75">
        <v>16.98</v>
      </c>
      <c r="F48" s="75">
        <v>-1.284</v>
      </c>
      <c r="G48" s="75">
        <v>-1.704</v>
      </c>
      <c r="H48" s="105">
        <v>-1.7150000000000001</v>
      </c>
      <c r="I48" s="104">
        <v>17.03</v>
      </c>
      <c r="J48" s="75">
        <v>16.93</v>
      </c>
      <c r="K48" s="75">
        <v>16.88</v>
      </c>
      <c r="L48" s="75">
        <v>-0.97799999999999998</v>
      </c>
      <c r="M48" s="75">
        <v>-0.874</v>
      </c>
      <c r="N48" s="105">
        <v>-0.82699999999999996</v>
      </c>
      <c r="O48" s="104">
        <v>32.86</v>
      </c>
      <c r="P48" s="75">
        <v>32.880000000000003</v>
      </c>
      <c r="Q48" s="75">
        <v>32.89</v>
      </c>
      <c r="R48" s="75">
        <v>-1.3</v>
      </c>
      <c r="S48" s="75">
        <v>-1.6970000000000001</v>
      </c>
      <c r="T48" s="105">
        <v>-1.7809999999999999</v>
      </c>
      <c r="U48" s="104">
        <v>32.61</v>
      </c>
      <c r="V48" s="75">
        <v>32.590000000000003</v>
      </c>
      <c r="W48" s="75">
        <v>32.57</v>
      </c>
      <c r="X48" s="75">
        <v>-3.137</v>
      </c>
      <c r="Y48" s="75">
        <v>-2.5179999999999998</v>
      </c>
      <c r="Z48" s="105">
        <v>-3.129</v>
      </c>
      <c r="AA48" s="104">
        <v>17</v>
      </c>
      <c r="AB48" s="75">
        <v>16.920000000000002</v>
      </c>
      <c r="AC48" s="75">
        <v>16.850000000000001</v>
      </c>
      <c r="AD48" s="75">
        <v>-0.80400000000000005</v>
      </c>
      <c r="AE48" s="75">
        <v>-1.2869999999999999</v>
      </c>
      <c r="AF48" s="105">
        <v>-0.82899999999999996</v>
      </c>
    </row>
    <row r="49" spans="2:32" x14ac:dyDescent="0.3">
      <c r="B49" s="111">
        <v>7.3333333333333375</v>
      </c>
      <c r="C49" s="104">
        <v>17.010000000000002</v>
      </c>
      <c r="D49" s="75">
        <v>16.98</v>
      </c>
      <c r="E49" s="75">
        <v>16.91</v>
      </c>
      <c r="F49" s="75">
        <v>-1.42</v>
      </c>
      <c r="G49" s="75">
        <v>-1.57</v>
      </c>
      <c r="H49" s="105">
        <v>-1.9950000000000001</v>
      </c>
      <c r="I49" s="104">
        <v>16.96</v>
      </c>
      <c r="J49" s="75">
        <v>16.86</v>
      </c>
      <c r="K49" s="75">
        <v>16.82</v>
      </c>
      <c r="L49" s="75">
        <v>-1.117</v>
      </c>
      <c r="M49" s="75">
        <v>-1.0680000000000001</v>
      </c>
      <c r="N49" s="105">
        <v>-1.002</v>
      </c>
      <c r="O49" s="104">
        <v>32.79</v>
      </c>
      <c r="P49" s="75">
        <v>32.82</v>
      </c>
      <c r="Q49" s="75">
        <v>32.81</v>
      </c>
      <c r="R49" s="75">
        <v>-1.5509999999999999</v>
      </c>
      <c r="S49" s="75">
        <v>-1.5649999999999999</v>
      </c>
      <c r="T49" s="105">
        <v>-1.6419999999999999</v>
      </c>
      <c r="U49" s="104">
        <v>32.549999999999997</v>
      </c>
      <c r="V49" s="75">
        <v>32.520000000000003</v>
      </c>
      <c r="W49" s="75">
        <v>32.5</v>
      </c>
      <c r="X49" s="75">
        <v>-3.1349999999999998</v>
      </c>
      <c r="Y49" s="75">
        <v>-2.5009999999999999</v>
      </c>
      <c r="Z49" s="105">
        <v>-3.214</v>
      </c>
      <c r="AA49" s="104">
        <v>16.920000000000002</v>
      </c>
      <c r="AB49" s="75">
        <v>16.850000000000001</v>
      </c>
      <c r="AC49" s="75">
        <v>16.78</v>
      </c>
      <c r="AD49" s="75">
        <v>-0.93799999999999994</v>
      </c>
      <c r="AE49" s="75">
        <v>-1.1579999999999999</v>
      </c>
      <c r="AF49" s="105">
        <v>-1.0169999999999999</v>
      </c>
    </row>
    <row r="50" spans="2:32" x14ac:dyDescent="0.3">
      <c r="B50" s="111">
        <v>7.5000000000000044</v>
      </c>
      <c r="C50" s="104">
        <v>16.940000000000001</v>
      </c>
      <c r="D50" s="75">
        <v>16.91</v>
      </c>
      <c r="E50" s="75">
        <v>16.82</v>
      </c>
      <c r="F50" s="75">
        <v>-1.4450000000000001</v>
      </c>
      <c r="G50" s="75">
        <v>-1.4419999999999999</v>
      </c>
      <c r="H50" s="105">
        <v>-2.266</v>
      </c>
      <c r="I50" s="104">
        <v>16.89</v>
      </c>
      <c r="J50" s="75">
        <v>16.79</v>
      </c>
      <c r="K50" s="75">
        <v>16.73</v>
      </c>
      <c r="L50" s="75">
        <v>-1.258</v>
      </c>
      <c r="M50" s="75">
        <v>-1.07</v>
      </c>
      <c r="N50" s="105">
        <v>-1.212</v>
      </c>
      <c r="O50" s="104">
        <v>32.72</v>
      </c>
      <c r="P50" s="75">
        <v>32.75</v>
      </c>
      <c r="Q50" s="75">
        <v>32.75</v>
      </c>
      <c r="R50" s="75">
        <v>-1.278</v>
      </c>
      <c r="S50" s="75">
        <v>-1.655</v>
      </c>
      <c r="T50" s="105">
        <v>-1.8879999999999999</v>
      </c>
      <c r="U50" s="104">
        <v>32.479999999999997</v>
      </c>
      <c r="V50" s="75">
        <v>32.46</v>
      </c>
      <c r="W50" s="75">
        <v>32.44</v>
      </c>
      <c r="X50" s="75">
        <v>-2.3519999999999999</v>
      </c>
      <c r="Y50" s="75">
        <v>-2.52</v>
      </c>
      <c r="Z50" s="105">
        <v>-3.1309999999999998</v>
      </c>
      <c r="AA50" s="104">
        <v>16.850000000000001</v>
      </c>
      <c r="AB50" s="75">
        <v>16.78</v>
      </c>
      <c r="AC50" s="75">
        <v>16.690000000000001</v>
      </c>
      <c r="AD50" s="75">
        <v>-0.93899999999999995</v>
      </c>
      <c r="AE50" s="75">
        <v>-0.90800000000000003</v>
      </c>
      <c r="AF50" s="105">
        <v>-1.2589999999999999</v>
      </c>
    </row>
    <row r="51" spans="2:32" x14ac:dyDescent="0.3">
      <c r="B51" s="111">
        <v>7.6666666666666714</v>
      </c>
      <c r="C51" s="104">
        <v>16.87</v>
      </c>
      <c r="D51" s="75">
        <v>16.82</v>
      </c>
      <c r="E51" s="75">
        <v>16.75</v>
      </c>
      <c r="F51" s="75">
        <v>-1.4850000000000001</v>
      </c>
      <c r="G51" s="75">
        <v>-2.0790000000000002</v>
      </c>
      <c r="H51" s="105">
        <v>-1.9450000000000001</v>
      </c>
      <c r="I51" s="104">
        <v>16.82</v>
      </c>
      <c r="J51" s="75">
        <v>16.7</v>
      </c>
      <c r="K51" s="75">
        <v>16.66</v>
      </c>
      <c r="L51" s="75">
        <v>-1.2749999999999999</v>
      </c>
      <c r="M51" s="75">
        <v>-0.76200000000000001</v>
      </c>
      <c r="N51" s="105">
        <v>-1.698</v>
      </c>
      <c r="O51" s="104">
        <v>32.65</v>
      </c>
      <c r="P51" s="75">
        <v>32.67</v>
      </c>
      <c r="Q51" s="75">
        <v>32.68</v>
      </c>
      <c r="R51" s="75">
        <v>-1.3220000000000001</v>
      </c>
      <c r="S51" s="75">
        <v>-1.518</v>
      </c>
      <c r="T51" s="105">
        <v>-1.907</v>
      </c>
      <c r="U51" s="104">
        <v>32.409999999999997</v>
      </c>
      <c r="V51" s="75">
        <v>32.39</v>
      </c>
      <c r="W51" s="75">
        <v>32.369999999999997</v>
      </c>
      <c r="X51" s="75">
        <v>-2.992</v>
      </c>
      <c r="Y51" s="75">
        <v>-2.7549999999999999</v>
      </c>
      <c r="Z51" s="105">
        <v>-2.9740000000000002</v>
      </c>
      <c r="AA51" s="104">
        <v>16.78</v>
      </c>
      <c r="AB51" s="75">
        <v>16.68</v>
      </c>
      <c r="AC51" s="75">
        <v>16.61</v>
      </c>
      <c r="AD51" s="75">
        <v>-0.98699999999999999</v>
      </c>
      <c r="AE51" s="75">
        <v>-1.4390000000000001</v>
      </c>
      <c r="AF51" s="105">
        <v>-0.88</v>
      </c>
    </row>
    <row r="52" spans="2:32" x14ac:dyDescent="0.3">
      <c r="B52" s="111">
        <v>7.8333333333333384</v>
      </c>
      <c r="C52" s="104">
        <v>16.78</v>
      </c>
      <c r="D52" s="75">
        <v>16.739999999999998</v>
      </c>
      <c r="E52" s="75">
        <v>16.68</v>
      </c>
      <c r="F52" s="75">
        <v>-1.887</v>
      </c>
      <c r="G52" s="75">
        <v>-1.9470000000000001</v>
      </c>
      <c r="H52" s="105">
        <v>-1.986</v>
      </c>
      <c r="I52" s="104">
        <v>16.73</v>
      </c>
      <c r="J52" s="75">
        <v>16.63</v>
      </c>
      <c r="K52" s="75">
        <v>16.59</v>
      </c>
      <c r="L52" s="75">
        <v>-1.3069999999999999</v>
      </c>
      <c r="M52" s="75">
        <v>-1.4370000000000001</v>
      </c>
      <c r="N52" s="105">
        <v>-1.395</v>
      </c>
      <c r="O52" s="104">
        <v>32.57</v>
      </c>
      <c r="P52" s="75">
        <v>32.6</v>
      </c>
      <c r="Q52" s="75">
        <v>32.61</v>
      </c>
      <c r="R52" s="75">
        <v>-1.2949999999999999</v>
      </c>
      <c r="S52" s="75">
        <v>-1.7809999999999999</v>
      </c>
      <c r="T52" s="105">
        <v>-1.8560000000000001</v>
      </c>
      <c r="U52" s="104">
        <v>32.340000000000003</v>
      </c>
      <c r="V52" s="75">
        <v>32.32</v>
      </c>
      <c r="W52" s="75">
        <v>32.31</v>
      </c>
      <c r="X52" s="75">
        <v>-3.2</v>
      </c>
      <c r="Y52" s="75">
        <v>-2.5230000000000001</v>
      </c>
      <c r="Z52" s="105">
        <v>-3.1339999999999999</v>
      </c>
      <c r="AA52" s="104">
        <v>16.690000000000001</v>
      </c>
      <c r="AB52" s="75">
        <v>16.61</v>
      </c>
      <c r="AC52" s="75">
        <v>16.53</v>
      </c>
      <c r="AD52" s="75">
        <v>-1.3260000000000001</v>
      </c>
      <c r="AE52" s="75">
        <v>-1.1459999999999999</v>
      </c>
      <c r="AF52" s="105">
        <v>-0.90200000000000002</v>
      </c>
    </row>
    <row r="53" spans="2:32" x14ac:dyDescent="0.3">
      <c r="B53" s="111">
        <v>8.0000000000000053</v>
      </c>
      <c r="C53" s="104">
        <v>16.7</v>
      </c>
      <c r="D53" s="75">
        <v>16.670000000000002</v>
      </c>
      <c r="E53" s="75">
        <v>16.600000000000001</v>
      </c>
      <c r="F53" s="75">
        <v>-1.7949999999999999</v>
      </c>
      <c r="G53" s="75">
        <v>-1.4359999999999999</v>
      </c>
      <c r="H53" s="105">
        <v>-2.09</v>
      </c>
      <c r="I53" s="104">
        <v>16.649999999999999</v>
      </c>
      <c r="J53" s="75">
        <v>16.57</v>
      </c>
      <c r="K53" s="75">
        <v>16.510000000000002</v>
      </c>
      <c r="L53" s="75">
        <v>-1.722</v>
      </c>
      <c r="M53" s="75">
        <v>-1.1479999999999999</v>
      </c>
      <c r="N53" s="105">
        <v>-1.371</v>
      </c>
      <c r="O53" s="104">
        <v>32.479999999999997</v>
      </c>
      <c r="P53" s="75">
        <v>32.51</v>
      </c>
      <c r="Q53" s="75">
        <v>32.520000000000003</v>
      </c>
      <c r="R53" s="75">
        <v>-1.3640000000000001</v>
      </c>
      <c r="S53" s="75">
        <v>-1.661</v>
      </c>
      <c r="T53" s="105">
        <v>-1.8819999999999999</v>
      </c>
      <c r="U53" s="104">
        <v>32.25</v>
      </c>
      <c r="V53" s="75">
        <v>32.229999999999997</v>
      </c>
      <c r="W53" s="75">
        <v>32.22</v>
      </c>
      <c r="X53" s="75">
        <v>-3.085</v>
      </c>
      <c r="Y53" s="75">
        <v>-2.6349999999999998</v>
      </c>
      <c r="Z53" s="105">
        <v>-3.7120000000000002</v>
      </c>
      <c r="AA53" s="104">
        <v>16.600000000000001</v>
      </c>
      <c r="AB53" s="75">
        <v>16.54</v>
      </c>
      <c r="AC53" s="75">
        <v>16.45</v>
      </c>
      <c r="AD53" s="75">
        <v>-1.2549999999999999</v>
      </c>
      <c r="AE53" s="75">
        <v>-0.58399999999999996</v>
      </c>
      <c r="AF53" s="105">
        <v>-0.96899999999999997</v>
      </c>
    </row>
    <row r="54" spans="2:32" x14ac:dyDescent="0.3">
      <c r="B54" s="111">
        <v>8.1666666666666714</v>
      </c>
      <c r="C54" s="104">
        <v>16.62</v>
      </c>
      <c r="D54" s="75">
        <v>16.61</v>
      </c>
      <c r="E54" s="75">
        <v>16.53</v>
      </c>
      <c r="F54" s="75">
        <v>-1.629</v>
      </c>
      <c r="G54" s="75">
        <v>-1.5309999999999999</v>
      </c>
      <c r="H54" s="105">
        <v>-1.982</v>
      </c>
      <c r="I54" s="104">
        <v>16.57</v>
      </c>
      <c r="J54" s="75">
        <v>16.510000000000002</v>
      </c>
      <c r="K54" s="75">
        <v>16.440000000000001</v>
      </c>
      <c r="L54" s="75">
        <v>-1.661</v>
      </c>
      <c r="M54" s="75">
        <v>-0.503</v>
      </c>
      <c r="N54" s="105">
        <v>-1.536</v>
      </c>
      <c r="O54" s="104">
        <v>32.4</v>
      </c>
      <c r="P54" s="75">
        <v>32.44</v>
      </c>
      <c r="Q54" s="75">
        <v>32.43</v>
      </c>
      <c r="R54" s="75">
        <v>-1.33</v>
      </c>
      <c r="S54" s="75">
        <v>-1.5209999999999999</v>
      </c>
      <c r="T54" s="105">
        <v>-1.9590000000000001</v>
      </c>
      <c r="U54" s="104">
        <v>32.18</v>
      </c>
      <c r="V54" s="75">
        <v>32.159999999999997</v>
      </c>
      <c r="W54" s="75">
        <v>32.14</v>
      </c>
      <c r="X54" s="75">
        <v>-2.6920000000000002</v>
      </c>
      <c r="Y54" s="75">
        <v>-2.5249999999999999</v>
      </c>
      <c r="Z54" s="105">
        <v>-3.1360000000000001</v>
      </c>
      <c r="AA54" s="104">
        <v>16.52</v>
      </c>
      <c r="AB54" s="75">
        <v>16.47</v>
      </c>
      <c r="AC54" s="75">
        <v>16.38</v>
      </c>
      <c r="AD54" s="75">
        <v>-1.06</v>
      </c>
      <c r="AE54" s="75">
        <v>-0.66700000000000004</v>
      </c>
      <c r="AF54" s="105">
        <v>-0.80800000000000005</v>
      </c>
    </row>
    <row r="55" spans="2:32" x14ac:dyDescent="0.3">
      <c r="B55" s="111">
        <v>8.3333333333333375</v>
      </c>
      <c r="C55" s="104">
        <v>16.55</v>
      </c>
      <c r="D55" s="75">
        <v>16.54</v>
      </c>
      <c r="E55" s="75">
        <v>16.45</v>
      </c>
      <c r="F55" s="75">
        <v>-1.5509999999999999</v>
      </c>
      <c r="G55" s="75">
        <v>-1.671</v>
      </c>
      <c r="H55" s="105">
        <v>-1.869</v>
      </c>
      <c r="I55" s="104">
        <v>16.5</v>
      </c>
      <c r="J55" s="75">
        <v>16.45</v>
      </c>
      <c r="K55" s="75">
        <v>16.37</v>
      </c>
      <c r="L55" s="75">
        <v>-1.476</v>
      </c>
      <c r="M55" s="75">
        <v>-0.76100000000000001</v>
      </c>
      <c r="N55" s="105">
        <v>-1.403</v>
      </c>
      <c r="O55" s="104">
        <v>32.32</v>
      </c>
      <c r="P55" s="75">
        <v>32.369999999999997</v>
      </c>
      <c r="Q55" s="75">
        <v>32.36</v>
      </c>
      <c r="R55" s="75">
        <v>-1.375</v>
      </c>
      <c r="S55" s="75">
        <v>-1.893</v>
      </c>
      <c r="T55" s="105">
        <v>-1.786</v>
      </c>
      <c r="U55" s="104">
        <v>32.1</v>
      </c>
      <c r="V55" s="75">
        <v>32.1</v>
      </c>
      <c r="W55" s="75">
        <v>32.07</v>
      </c>
      <c r="X55" s="75">
        <v>-2.7189999999999999</v>
      </c>
      <c r="Y55" s="75">
        <v>-2.0019999999999998</v>
      </c>
      <c r="Z55" s="105">
        <v>-2.9409999999999998</v>
      </c>
      <c r="AA55" s="104">
        <v>16.45</v>
      </c>
      <c r="AB55" s="75">
        <v>16.399999999999999</v>
      </c>
      <c r="AC55" s="75">
        <v>16.309999999999999</v>
      </c>
      <c r="AD55" s="75">
        <v>-0.95799999999999996</v>
      </c>
      <c r="AE55" s="75">
        <v>-0.72299999999999998</v>
      </c>
      <c r="AF55" s="105">
        <v>-0.81</v>
      </c>
    </row>
    <row r="56" spans="2:32" x14ac:dyDescent="0.3">
      <c r="B56" s="111">
        <v>8.5000000000000036</v>
      </c>
      <c r="C56" s="104">
        <v>16.48</v>
      </c>
      <c r="D56" s="75">
        <v>16.46</v>
      </c>
      <c r="E56" s="75">
        <v>16.39</v>
      </c>
      <c r="F56" s="75">
        <v>-1.577</v>
      </c>
      <c r="G56" s="75">
        <v>-1.9139999999999999</v>
      </c>
      <c r="H56" s="105">
        <v>-1.9179999999999999</v>
      </c>
      <c r="I56" s="104">
        <v>16.420000000000002</v>
      </c>
      <c r="J56" s="75">
        <v>16.37</v>
      </c>
      <c r="K56" s="75">
        <v>16.3</v>
      </c>
      <c r="L56" s="75">
        <v>-1.38</v>
      </c>
      <c r="M56" s="75">
        <v>-0.91800000000000004</v>
      </c>
      <c r="N56" s="105">
        <v>-1.3620000000000001</v>
      </c>
      <c r="O56" s="104">
        <v>32.25</v>
      </c>
      <c r="P56" s="75">
        <v>32.31</v>
      </c>
      <c r="Q56" s="75">
        <v>32.29</v>
      </c>
      <c r="R56" s="75">
        <v>-1.5269999999999999</v>
      </c>
      <c r="S56" s="75">
        <v>-1.748</v>
      </c>
      <c r="T56" s="105">
        <v>-1.925</v>
      </c>
      <c r="U56" s="104">
        <v>32.03</v>
      </c>
      <c r="V56" s="75">
        <v>32.03</v>
      </c>
      <c r="W56" s="75">
        <v>32</v>
      </c>
      <c r="X56" s="75">
        <v>-2.7829999999999999</v>
      </c>
      <c r="Y56" s="75">
        <v>-2.5270000000000001</v>
      </c>
      <c r="Z56" s="105">
        <v>-3.1379999999999999</v>
      </c>
      <c r="AA56" s="104">
        <v>16.38</v>
      </c>
      <c r="AB56" s="75">
        <v>16.32</v>
      </c>
      <c r="AC56" s="75">
        <v>16.239999999999998</v>
      </c>
      <c r="AD56" s="75">
        <v>-0.96499999999999997</v>
      </c>
      <c r="AE56" s="75">
        <v>-0.89</v>
      </c>
      <c r="AF56" s="105">
        <v>-0.74</v>
      </c>
    </row>
    <row r="57" spans="2:32" x14ac:dyDescent="0.3">
      <c r="B57" s="111">
        <v>8.6666666666666696</v>
      </c>
      <c r="C57" s="104">
        <v>16.399999999999999</v>
      </c>
      <c r="D57" s="75">
        <v>16.39</v>
      </c>
      <c r="E57" s="75">
        <v>16.309999999999999</v>
      </c>
      <c r="F57" s="75">
        <v>-1.532</v>
      </c>
      <c r="G57" s="75">
        <v>-1.841</v>
      </c>
      <c r="H57" s="105">
        <v>-2.008</v>
      </c>
      <c r="I57" s="104">
        <v>16.350000000000001</v>
      </c>
      <c r="J57" s="75">
        <v>16.3</v>
      </c>
      <c r="K57" s="75">
        <v>16.23</v>
      </c>
      <c r="L57" s="75">
        <v>-1.3720000000000001</v>
      </c>
      <c r="M57" s="75">
        <v>-1.228</v>
      </c>
      <c r="N57" s="105">
        <v>-1.341</v>
      </c>
      <c r="O57" s="104">
        <v>32.229999999999997</v>
      </c>
      <c r="P57" s="75">
        <v>32.25</v>
      </c>
      <c r="Q57" s="75">
        <v>32.21</v>
      </c>
      <c r="R57" s="75">
        <v>-1.4910000000000001</v>
      </c>
      <c r="S57" s="75">
        <v>-1.696</v>
      </c>
      <c r="T57" s="105">
        <v>-1.81</v>
      </c>
      <c r="U57" s="104">
        <v>32</v>
      </c>
      <c r="V57" s="75">
        <v>31.97</v>
      </c>
      <c r="W57" s="75">
        <v>31.93</v>
      </c>
      <c r="X57" s="75">
        <v>-3.0129999999999999</v>
      </c>
      <c r="Y57" s="75">
        <v>-2.8479999999999999</v>
      </c>
      <c r="Z57" s="105">
        <v>-3.056</v>
      </c>
      <c r="AA57" s="104">
        <v>16.3</v>
      </c>
      <c r="AB57" s="75">
        <v>16.25</v>
      </c>
      <c r="AC57" s="75">
        <v>16.16</v>
      </c>
      <c r="AD57" s="75">
        <v>-0.91100000000000003</v>
      </c>
      <c r="AE57" s="75">
        <v>-0.77</v>
      </c>
      <c r="AF57" s="105">
        <v>-0.85</v>
      </c>
    </row>
    <row r="58" spans="2:32" x14ac:dyDescent="0.3">
      <c r="B58" s="111">
        <v>8.8333333333333357</v>
      </c>
      <c r="C58" s="104">
        <v>16.329999999999998</v>
      </c>
      <c r="D58" s="75">
        <v>16.32</v>
      </c>
      <c r="E58" s="75">
        <v>16.25</v>
      </c>
      <c r="F58" s="75">
        <v>-1.7090000000000001</v>
      </c>
      <c r="G58" s="75">
        <v>-1.821</v>
      </c>
      <c r="H58" s="105">
        <v>-1.8959999999999999</v>
      </c>
      <c r="I58" s="104">
        <v>16.28</v>
      </c>
      <c r="J58" s="75">
        <v>16.239999999999998</v>
      </c>
      <c r="K58" s="75">
        <v>16.16</v>
      </c>
      <c r="L58" s="75">
        <v>-1.359</v>
      </c>
      <c r="M58" s="75">
        <v>-1.2989999999999999</v>
      </c>
      <c r="N58" s="105">
        <v>-1.5169999999999999</v>
      </c>
      <c r="O58" s="104">
        <v>32.130000000000003</v>
      </c>
      <c r="P58" s="75">
        <v>32.17</v>
      </c>
      <c r="Q58" s="75">
        <v>32.14</v>
      </c>
      <c r="R58" s="75">
        <v>-1.4379999999999999</v>
      </c>
      <c r="S58" s="75">
        <v>-1.736</v>
      </c>
      <c r="T58" s="105">
        <v>-1.8049999999999999</v>
      </c>
      <c r="U58" s="104">
        <v>31.92</v>
      </c>
      <c r="V58" s="75">
        <v>31.9</v>
      </c>
      <c r="W58" s="75">
        <v>31.86</v>
      </c>
      <c r="X58" s="75">
        <v>-3.1190000000000002</v>
      </c>
      <c r="Y58" s="75">
        <v>-2.5299999999999998</v>
      </c>
      <c r="Z58" s="105">
        <v>-3.141</v>
      </c>
      <c r="AA58" s="104">
        <v>16.23</v>
      </c>
      <c r="AB58" s="75">
        <v>16.18</v>
      </c>
      <c r="AC58" s="75">
        <v>16.100000000000001</v>
      </c>
      <c r="AD58" s="75">
        <v>-1.032</v>
      </c>
      <c r="AE58" s="75">
        <v>-0.76300000000000001</v>
      </c>
      <c r="AF58" s="105">
        <v>-0.70699999999999996</v>
      </c>
    </row>
    <row r="59" spans="2:32" x14ac:dyDescent="0.3">
      <c r="B59" s="111">
        <v>9.0000000000000018</v>
      </c>
      <c r="C59" s="104">
        <v>16.260000000000002</v>
      </c>
      <c r="D59" s="75">
        <v>16.25</v>
      </c>
      <c r="E59" s="75">
        <v>16.18</v>
      </c>
      <c r="F59" s="75">
        <v>-1.6240000000000001</v>
      </c>
      <c r="G59" s="75">
        <v>-1.7989999999999999</v>
      </c>
      <c r="H59" s="105">
        <v>-2.0310000000000001</v>
      </c>
      <c r="I59" s="104">
        <v>16.21</v>
      </c>
      <c r="J59" s="75">
        <v>16.170000000000002</v>
      </c>
      <c r="K59" s="75">
        <v>16.09</v>
      </c>
      <c r="L59" s="75">
        <v>-1.472</v>
      </c>
      <c r="M59" s="75">
        <v>-1.248</v>
      </c>
      <c r="N59" s="105">
        <v>-1.4119999999999999</v>
      </c>
      <c r="O59" s="104">
        <v>32.04</v>
      </c>
      <c r="P59" s="75">
        <v>32.1</v>
      </c>
      <c r="Q59" s="75">
        <v>32.06</v>
      </c>
      <c r="R59" s="75">
        <v>-1.3759999999999999</v>
      </c>
      <c r="S59" s="75">
        <v>-1.633</v>
      </c>
      <c r="T59" s="105">
        <v>-2.0110000000000001</v>
      </c>
      <c r="U59" s="104">
        <v>31.83</v>
      </c>
      <c r="V59" s="75">
        <v>31.83</v>
      </c>
      <c r="W59" s="75">
        <v>31.78</v>
      </c>
      <c r="X59" s="75">
        <v>-2.23</v>
      </c>
      <c r="Y59" s="75">
        <v>-2.3780000000000001</v>
      </c>
      <c r="Z59" s="105">
        <v>-3.3069999999999999</v>
      </c>
      <c r="AA59" s="104">
        <v>16.16</v>
      </c>
      <c r="AB59" s="75">
        <v>16.11</v>
      </c>
      <c r="AC59" s="75">
        <v>16.02</v>
      </c>
      <c r="AD59" s="75">
        <v>-0.99399999999999999</v>
      </c>
      <c r="AE59" s="75">
        <v>-0.65100000000000002</v>
      </c>
      <c r="AF59" s="105">
        <v>-0.82899999999999996</v>
      </c>
    </row>
    <row r="60" spans="2:32" x14ac:dyDescent="0.3">
      <c r="B60" s="111">
        <v>9.1666666666666679</v>
      </c>
      <c r="C60" s="104">
        <v>16.190000000000001</v>
      </c>
      <c r="D60" s="75">
        <v>16.18</v>
      </c>
      <c r="E60" s="75">
        <v>16.11</v>
      </c>
      <c r="F60" s="75">
        <v>-1.4510000000000001</v>
      </c>
      <c r="G60" s="75">
        <v>-1.83</v>
      </c>
      <c r="H60" s="105">
        <v>-2.1</v>
      </c>
      <c r="I60" s="104">
        <v>16.14</v>
      </c>
      <c r="J60" s="75">
        <v>16.100000000000001</v>
      </c>
      <c r="K60" s="75">
        <v>16.02</v>
      </c>
      <c r="L60" s="75">
        <v>-1.4319999999999999</v>
      </c>
      <c r="M60" s="75">
        <v>-1.081</v>
      </c>
      <c r="N60" s="105">
        <v>-1.4670000000000001</v>
      </c>
      <c r="O60" s="104">
        <v>31.97</v>
      </c>
      <c r="P60" s="75">
        <v>32.020000000000003</v>
      </c>
      <c r="Q60" s="75">
        <v>31.99</v>
      </c>
      <c r="R60" s="75">
        <v>-1.3120000000000001</v>
      </c>
      <c r="S60" s="75">
        <v>-1.798</v>
      </c>
      <c r="T60" s="105">
        <v>-1.7809999999999999</v>
      </c>
      <c r="U60" s="104">
        <v>31.76</v>
      </c>
      <c r="V60" s="75">
        <v>31.76</v>
      </c>
      <c r="W60" s="75">
        <v>31.71</v>
      </c>
      <c r="X60" s="75">
        <v>-2.4289999999999998</v>
      </c>
      <c r="Y60" s="75">
        <v>-2.532</v>
      </c>
      <c r="Z60" s="105">
        <v>-3.1429999999999998</v>
      </c>
      <c r="AA60" s="104">
        <v>16.09</v>
      </c>
      <c r="AB60" s="75">
        <v>16.03</v>
      </c>
      <c r="AC60" s="75">
        <v>15.95</v>
      </c>
      <c r="AD60" s="75">
        <v>-0.78200000000000003</v>
      </c>
      <c r="AE60" s="75">
        <v>-0.70299999999999996</v>
      </c>
      <c r="AF60" s="105">
        <v>-0.84199999999999997</v>
      </c>
    </row>
    <row r="61" spans="2:32" x14ac:dyDescent="0.3">
      <c r="B61" s="111">
        <v>9.3333333333333339</v>
      </c>
      <c r="C61" s="104">
        <v>16.12</v>
      </c>
      <c r="D61" s="75">
        <v>16.11</v>
      </c>
      <c r="E61" s="75">
        <v>16.03</v>
      </c>
      <c r="F61" s="75">
        <v>-1.514</v>
      </c>
      <c r="G61" s="75">
        <v>-1.9359999999999999</v>
      </c>
      <c r="H61" s="105">
        <v>-2.056</v>
      </c>
      <c r="I61" s="104">
        <v>16.07</v>
      </c>
      <c r="J61" s="75">
        <v>16.03</v>
      </c>
      <c r="K61" s="75">
        <v>15.95</v>
      </c>
      <c r="L61" s="75">
        <v>-1.2050000000000001</v>
      </c>
      <c r="M61" s="75">
        <v>-1.276</v>
      </c>
      <c r="N61" s="105">
        <v>-1.5429999999999999</v>
      </c>
      <c r="O61" s="104">
        <v>31.89</v>
      </c>
      <c r="P61" s="75">
        <v>31.95</v>
      </c>
      <c r="Q61" s="75">
        <v>31.92</v>
      </c>
      <c r="R61" s="75">
        <v>-1.4410000000000001</v>
      </c>
      <c r="S61" s="75">
        <v>-1.9119999999999999</v>
      </c>
      <c r="T61" s="105">
        <v>-1.9930000000000001</v>
      </c>
      <c r="U61" s="104">
        <v>31.68</v>
      </c>
      <c r="V61" s="75">
        <v>31.68</v>
      </c>
      <c r="W61" s="75">
        <v>31.64</v>
      </c>
      <c r="X61" s="75">
        <v>-2.3959999999999999</v>
      </c>
      <c r="Y61" s="75">
        <v>-2.2989999999999999</v>
      </c>
      <c r="Z61" s="105">
        <v>-2.8580000000000001</v>
      </c>
      <c r="AA61" s="104">
        <v>16.02</v>
      </c>
      <c r="AB61" s="75">
        <v>15.96</v>
      </c>
      <c r="AC61" s="75">
        <v>15.88</v>
      </c>
      <c r="AD61" s="75">
        <v>-0.79900000000000004</v>
      </c>
      <c r="AE61" s="75">
        <v>-0.78</v>
      </c>
      <c r="AF61" s="105">
        <v>-0.80600000000000005</v>
      </c>
    </row>
    <row r="62" spans="2:32" x14ac:dyDescent="0.3">
      <c r="B62" s="111">
        <v>9.5</v>
      </c>
      <c r="C62" s="104">
        <v>16.11</v>
      </c>
      <c r="D62" s="75">
        <v>16.04</v>
      </c>
      <c r="E62" s="75">
        <v>15.96</v>
      </c>
      <c r="F62" s="75">
        <v>4.2000000000000003E-2</v>
      </c>
      <c r="G62" s="75">
        <v>-1.9530000000000001</v>
      </c>
      <c r="H62" s="105">
        <v>-1.9650000000000001</v>
      </c>
      <c r="I62" s="104">
        <v>16.04</v>
      </c>
      <c r="J62" s="75">
        <v>15.96</v>
      </c>
      <c r="K62" s="75">
        <v>15.88</v>
      </c>
      <c r="L62" s="75">
        <v>-1.2470000000000001</v>
      </c>
      <c r="M62" s="75">
        <v>-1.385</v>
      </c>
      <c r="N62" s="105">
        <v>-1.385</v>
      </c>
      <c r="O62" s="104">
        <v>31.83</v>
      </c>
      <c r="P62" s="75">
        <v>31.88</v>
      </c>
      <c r="Q62" s="75">
        <v>31.85</v>
      </c>
      <c r="R62" s="75">
        <v>-1.343</v>
      </c>
      <c r="S62" s="75">
        <v>-1.706</v>
      </c>
      <c r="T62" s="105">
        <v>-1.972</v>
      </c>
      <c r="U62" s="104">
        <v>31.62</v>
      </c>
      <c r="V62" s="75">
        <v>31.61</v>
      </c>
      <c r="W62" s="75">
        <v>31.57</v>
      </c>
      <c r="X62" s="75">
        <v>-2.4129999999999998</v>
      </c>
      <c r="Y62" s="75">
        <v>-2.5339999999999998</v>
      </c>
      <c r="Z62" s="105">
        <v>-3.145</v>
      </c>
      <c r="AA62" s="104">
        <v>16</v>
      </c>
      <c r="AB62" s="75">
        <v>15.89</v>
      </c>
      <c r="AC62" s="75">
        <v>15.81</v>
      </c>
      <c r="AD62" s="75">
        <v>0.76700000000000002</v>
      </c>
      <c r="AE62" s="75">
        <v>-0.77900000000000003</v>
      </c>
      <c r="AF62" s="105">
        <v>-0.69799999999999995</v>
      </c>
    </row>
    <row r="63" spans="2:32" x14ac:dyDescent="0.3">
      <c r="B63" s="111">
        <v>9.6666666666666661</v>
      </c>
      <c r="C63" s="104">
        <v>16.07</v>
      </c>
      <c r="D63" s="75">
        <v>15.97</v>
      </c>
      <c r="E63" s="75">
        <v>15.9</v>
      </c>
      <c r="F63" s="75">
        <v>-1.028</v>
      </c>
      <c r="G63" s="75">
        <v>-1.907</v>
      </c>
      <c r="H63" s="105">
        <v>-1.9810000000000001</v>
      </c>
      <c r="I63" s="104">
        <v>16.010000000000002</v>
      </c>
      <c r="J63" s="75">
        <v>15.88</v>
      </c>
      <c r="K63" s="75">
        <v>15.81</v>
      </c>
      <c r="L63" s="75">
        <v>0.47</v>
      </c>
      <c r="M63" s="75">
        <v>-1.375</v>
      </c>
      <c r="N63" s="105">
        <v>-1.3859999999999999</v>
      </c>
      <c r="O63" s="104">
        <v>31.76</v>
      </c>
      <c r="P63" s="75">
        <v>31.8</v>
      </c>
      <c r="Q63" s="75">
        <v>31.78</v>
      </c>
      <c r="R63" s="75">
        <v>-1.45</v>
      </c>
      <c r="S63" s="75">
        <v>-1.73</v>
      </c>
      <c r="T63" s="105">
        <v>-1.9650000000000001</v>
      </c>
      <c r="U63" s="104">
        <v>31.55</v>
      </c>
      <c r="V63" s="75">
        <v>31.54</v>
      </c>
      <c r="W63" s="75">
        <v>31.5</v>
      </c>
      <c r="X63" s="75">
        <v>-2.2040000000000002</v>
      </c>
      <c r="Y63" s="75">
        <v>-2.27</v>
      </c>
      <c r="Z63" s="105">
        <v>-2.6970000000000001</v>
      </c>
      <c r="AA63" s="104">
        <v>15.97</v>
      </c>
      <c r="AB63" s="75">
        <v>15.82</v>
      </c>
      <c r="AC63" s="75">
        <v>15.74</v>
      </c>
      <c r="AD63" s="75">
        <v>-0.29899999999999999</v>
      </c>
      <c r="AE63" s="75">
        <v>-0.71899999999999997</v>
      </c>
      <c r="AF63" s="105">
        <v>-0.72199999999999998</v>
      </c>
    </row>
    <row r="64" spans="2:32" x14ac:dyDescent="0.3">
      <c r="B64" s="111">
        <v>9.8333333333333321</v>
      </c>
      <c r="C64" s="104">
        <v>15.99</v>
      </c>
      <c r="D64" s="75">
        <v>15.89</v>
      </c>
      <c r="E64" s="75">
        <v>15.83</v>
      </c>
      <c r="F64" s="75">
        <v>-1.8069999999999999</v>
      </c>
      <c r="G64" s="75">
        <v>-1.8109999999999999</v>
      </c>
      <c r="H64" s="105">
        <v>-2.0880000000000001</v>
      </c>
      <c r="I64" s="104">
        <v>15.94</v>
      </c>
      <c r="J64" s="75">
        <v>15.81</v>
      </c>
      <c r="K64" s="75">
        <v>15.75</v>
      </c>
      <c r="L64" s="75">
        <v>-0.67600000000000005</v>
      </c>
      <c r="M64" s="75">
        <v>-1.32</v>
      </c>
      <c r="N64" s="105">
        <v>-1.383</v>
      </c>
      <c r="O64" s="104">
        <v>31.7</v>
      </c>
      <c r="P64" s="75">
        <v>31.72</v>
      </c>
      <c r="Q64" s="75">
        <v>31.7</v>
      </c>
      <c r="R64" s="75">
        <v>-1.5920000000000001</v>
      </c>
      <c r="S64" s="75">
        <v>-1.831</v>
      </c>
      <c r="T64" s="105">
        <v>-2.056</v>
      </c>
      <c r="U64" s="104">
        <v>31.49</v>
      </c>
      <c r="V64" s="75">
        <v>31.47</v>
      </c>
      <c r="W64" s="75">
        <v>31.43</v>
      </c>
      <c r="X64" s="75">
        <v>-2.1890000000000001</v>
      </c>
      <c r="Y64" s="75">
        <v>-2.5369999999999999</v>
      </c>
      <c r="Z64" s="105">
        <v>-3.1480000000000001</v>
      </c>
      <c r="AA64" s="104">
        <v>15.89</v>
      </c>
      <c r="AB64" s="75">
        <v>15.74</v>
      </c>
      <c r="AC64" s="75">
        <v>15.68</v>
      </c>
      <c r="AD64" s="75">
        <v>-1.087</v>
      </c>
      <c r="AE64" s="75">
        <v>-0.65</v>
      </c>
      <c r="AF64" s="105">
        <v>-0.78200000000000003</v>
      </c>
    </row>
    <row r="65" spans="2:32" x14ac:dyDescent="0.3">
      <c r="B65" s="111">
        <v>9.9999999999999982</v>
      </c>
      <c r="C65" s="104">
        <v>15.91</v>
      </c>
      <c r="D65" s="75">
        <v>15.81</v>
      </c>
      <c r="E65" s="75">
        <v>15.74</v>
      </c>
      <c r="F65" s="75">
        <v>-2.1110000000000002</v>
      </c>
      <c r="G65" s="75">
        <v>-2.4249999999999998</v>
      </c>
      <c r="H65" s="105">
        <v>-2.464</v>
      </c>
      <c r="I65" s="104">
        <v>15.86</v>
      </c>
      <c r="J65" s="75">
        <v>15.74</v>
      </c>
      <c r="K65" s="75">
        <v>15.66</v>
      </c>
      <c r="L65" s="75">
        <v>-1.5109999999999999</v>
      </c>
      <c r="M65" s="75">
        <v>-1.292</v>
      </c>
      <c r="N65" s="105">
        <v>-1.423</v>
      </c>
      <c r="O65" s="104">
        <v>31.63</v>
      </c>
      <c r="P65" s="75">
        <v>31.64</v>
      </c>
      <c r="Q65" s="75">
        <v>31.63</v>
      </c>
      <c r="R65" s="75">
        <v>-1.417</v>
      </c>
      <c r="S65" s="75">
        <v>-1.6279999999999999</v>
      </c>
      <c r="T65" s="105">
        <v>-1.8959999999999999</v>
      </c>
      <c r="U65" s="104">
        <v>31.42</v>
      </c>
      <c r="V65" s="75">
        <v>31.39</v>
      </c>
      <c r="W65" s="75">
        <v>31.36</v>
      </c>
      <c r="X65" s="75">
        <v>-2.5619999999999998</v>
      </c>
      <c r="Y65" s="75">
        <v>-1.9039999999999999</v>
      </c>
      <c r="Z65" s="105">
        <v>-3.2639999999999998</v>
      </c>
      <c r="AA65" s="104">
        <v>15.8</v>
      </c>
      <c r="AB65" s="75">
        <v>15.66</v>
      </c>
      <c r="AC65" s="75">
        <v>15.58</v>
      </c>
      <c r="AD65" s="75">
        <v>-1.377</v>
      </c>
      <c r="AE65" s="75">
        <v>-1.2230000000000001</v>
      </c>
      <c r="AF65" s="105">
        <v>-1.161</v>
      </c>
    </row>
    <row r="66" spans="2:32" x14ac:dyDescent="0.3">
      <c r="B66" s="111">
        <v>10.166666666666664</v>
      </c>
      <c r="C66" s="104">
        <v>15.82</v>
      </c>
      <c r="D66" s="75">
        <v>15.72</v>
      </c>
      <c r="E66" s="75">
        <v>15.66</v>
      </c>
      <c r="F66" s="75">
        <v>-2.36</v>
      </c>
      <c r="G66" s="75">
        <v>-2.5169999999999999</v>
      </c>
      <c r="H66" s="105">
        <v>-2.29</v>
      </c>
      <c r="I66" s="104">
        <v>15.77</v>
      </c>
      <c r="J66" s="75">
        <v>15.65</v>
      </c>
      <c r="K66" s="75">
        <v>15.58</v>
      </c>
      <c r="L66" s="75">
        <v>-1.8819999999999999</v>
      </c>
      <c r="M66" s="75">
        <v>-1.831</v>
      </c>
      <c r="N66" s="105">
        <v>-1.9410000000000001</v>
      </c>
      <c r="O66" s="104">
        <v>31.56</v>
      </c>
      <c r="P66" s="75">
        <v>31.57</v>
      </c>
      <c r="Q66" s="75">
        <v>31.55</v>
      </c>
      <c r="R66" s="75">
        <v>-1.3440000000000001</v>
      </c>
      <c r="S66" s="75">
        <v>-1.589</v>
      </c>
      <c r="T66" s="105">
        <v>-1.97</v>
      </c>
      <c r="U66" s="104">
        <v>31.36</v>
      </c>
      <c r="V66" s="75">
        <v>31.33</v>
      </c>
      <c r="W66" s="75">
        <v>31.29</v>
      </c>
      <c r="X66" s="75">
        <v>-2.5529999999999999</v>
      </c>
      <c r="Y66" s="75">
        <v>-2.5390000000000001</v>
      </c>
      <c r="Z66" s="105">
        <v>-3.15</v>
      </c>
      <c r="AA66" s="104">
        <v>15.71</v>
      </c>
      <c r="AB66" s="75">
        <v>15.57</v>
      </c>
      <c r="AC66" s="75">
        <v>15.5</v>
      </c>
      <c r="AD66" s="75">
        <v>-1.605</v>
      </c>
      <c r="AE66" s="75">
        <v>-1.3080000000000001</v>
      </c>
      <c r="AF66" s="105">
        <v>-0.996</v>
      </c>
    </row>
    <row r="67" spans="2:32" x14ac:dyDescent="0.3">
      <c r="B67" s="111">
        <v>10.33333333333333</v>
      </c>
      <c r="C67" s="104">
        <v>15.7</v>
      </c>
      <c r="D67" s="75">
        <v>15.64</v>
      </c>
      <c r="E67" s="75">
        <v>15.58</v>
      </c>
      <c r="F67" s="75">
        <v>-2.7549999999999999</v>
      </c>
      <c r="G67" s="75">
        <v>-2.2709999999999999</v>
      </c>
      <c r="H67" s="105">
        <v>-2.34</v>
      </c>
      <c r="I67" s="104">
        <v>15.65</v>
      </c>
      <c r="J67" s="75">
        <v>15.55</v>
      </c>
      <c r="K67" s="75">
        <v>15.49</v>
      </c>
      <c r="L67" s="75">
        <v>-2.105</v>
      </c>
      <c r="M67" s="75">
        <v>-1.974</v>
      </c>
      <c r="N67" s="105">
        <v>-1.7330000000000001</v>
      </c>
      <c r="O67" s="104">
        <v>31.49</v>
      </c>
      <c r="P67" s="75">
        <v>31.5</v>
      </c>
      <c r="Q67" s="75">
        <v>31.47</v>
      </c>
      <c r="R67" s="75">
        <v>-1.371</v>
      </c>
      <c r="S67" s="75">
        <v>-1.88</v>
      </c>
      <c r="T67" s="105">
        <v>-2.02</v>
      </c>
      <c r="U67" s="104">
        <v>31.29</v>
      </c>
      <c r="V67" s="75">
        <v>31.25</v>
      </c>
      <c r="W67" s="75">
        <v>31.21</v>
      </c>
      <c r="X67" s="75">
        <v>-2.8559999999999999</v>
      </c>
      <c r="Y67" s="75">
        <v>-2.7280000000000002</v>
      </c>
      <c r="Z67" s="105">
        <v>-3.33</v>
      </c>
      <c r="AA67" s="104">
        <v>15.59</v>
      </c>
      <c r="AB67" s="75">
        <v>15.48</v>
      </c>
      <c r="AC67" s="75">
        <v>15.42</v>
      </c>
      <c r="AD67" s="75">
        <v>-2.08</v>
      </c>
      <c r="AE67" s="75">
        <v>-1.081</v>
      </c>
      <c r="AF67" s="105">
        <v>-1.0049999999999999</v>
      </c>
    </row>
    <row r="68" spans="2:32" x14ac:dyDescent="0.3">
      <c r="B68" s="111">
        <v>10.499999999999996</v>
      </c>
      <c r="C68" s="104">
        <v>15.61</v>
      </c>
      <c r="D68" s="75">
        <v>15.56</v>
      </c>
      <c r="E68" s="75">
        <v>15.51</v>
      </c>
      <c r="F68" s="75">
        <v>-2.3170000000000002</v>
      </c>
      <c r="G68" s="75">
        <v>-2.0249999999999999</v>
      </c>
      <c r="H68" s="105">
        <v>-2.3319999999999999</v>
      </c>
      <c r="I68" s="104">
        <v>15.56</v>
      </c>
      <c r="J68" s="75">
        <v>15.48</v>
      </c>
      <c r="K68" s="75">
        <v>15.42</v>
      </c>
      <c r="L68" s="75">
        <v>-2.645</v>
      </c>
      <c r="M68" s="75">
        <v>-1.831</v>
      </c>
      <c r="N68" s="105">
        <v>-1.7729999999999999</v>
      </c>
      <c r="O68" s="104">
        <v>31.4</v>
      </c>
      <c r="P68" s="75">
        <v>31.4</v>
      </c>
      <c r="Q68" s="75">
        <v>31.38</v>
      </c>
      <c r="R68" s="75">
        <v>-1.4359999999999999</v>
      </c>
      <c r="S68" s="75">
        <v>-1.732</v>
      </c>
      <c r="T68" s="105">
        <v>-2.0449999999999999</v>
      </c>
      <c r="U68" s="104">
        <v>31.2</v>
      </c>
      <c r="V68" s="75">
        <v>31.16</v>
      </c>
      <c r="W68" s="75">
        <v>31.12</v>
      </c>
      <c r="X68" s="75">
        <v>-3.19</v>
      </c>
      <c r="Y68" s="75">
        <v>-2.5419999999999998</v>
      </c>
      <c r="Z68" s="105">
        <v>-3.153</v>
      </c>
      <c r="AA68" s="104">
        <v>15.5</v>
      </c>
      <c r="AB68" s="75">
        <v>15.4</v>
      </c>
      <c r="AC68" s="75">
        <v>15.34</v>
      </c>
      <c r="AD68" s="75">
        <v>-1.5940000000000001</v>
      </c>
      <c r="AE68" s="75">
        <v>-0.78100000000000003</v>
      </c>
      <c r="AF68" s="105">
        <v>-0.93899999999999995</v>
      </c>
    </row>
    <row r="69" spans="2:32" x14ac:dyDescent="0.3">
      <c r="B69" s="111">
        <v>10.666666666666663</v>
      </c>
      <c r="C69" s="104">
        <v>15.52</v>
      </c>
      <c r="D69" s="75">
        <v>15.49</v>
      </c>
      <c r="E69" s="75">
        <v>15.43</v>
      </c>
      <c r="F69" s="75">
        <v>-2.1120000000000001</v>
      </c>
      <c r="G69" s="75">
        <v>-2.0609999999999999</v>
      </c>
      <c r="H69" s="105">
        <v>-2.113</v>
      </c>
      <c r="I69" s="104">
        <v>15.47</v>
      </c>
      <c r="J69" s="75">
        <v>15.4</v>
      </c>
      <c r="K69" s="75">
        <v>15.35</v>
      </c>
      <c r="L69" s="75">
        <v>-2.1589999999999998</v>
      </c>
      <c r="M69" s="75">
        <v>-1.4159999999999999</v>
      </c>
      <c r="N69" s="105">
        <v>-1.665</v>
      </c>
      <c r="O69" s="104">
        <v>31.31</v>
      </c>
      <c r="P69" s="75">
        <v>31.32</v>
      </c>
      <c r="Q69" s="75">
        <v>31.31</v>
      </c>
      <c r="R69" s="75">
        <v>-1.3260000000000001</v>
      </c>
      <c r="S69" s="75">
        <v>-1.7450000000000001</v>
      </c>
      <c r="T69" s="105">
        <v>-1.927</v>
      </c>
      <c r="U69" s="104">
        <v>31.12</v>
      </c>
      <c r="V69" s="75">
        <v>31.09</v>
      </c>
      <c r="W69" s="75">
        <v>31.05</v>
      </c>
      <c r="X69" s="75">
        <v>-3.0510000000000002</v>
      </c>
      <c r="Y69" s="75">
        <v>-2.21</v>
      </c>
      <c r="Z69" s="105">
        <v>-3.0310000000000001</v>
      </c>
      <c r="AA69" s="104">
        <v>15.41</v>
      </c>
      <c r="AB69" s="75">
        <v>15.33</v>
      </c>
      <c r="AC69" s="75">
        <v>15.27</v>
      </c>
      <c r="AD69" s="75">
        <v>-1.353</v>
      </c>
      <c r="AE69" s="75">
        <v>-0.79700000000000004</v>
      </c>
      <c r="AF69" s="105">
        <v>-0.73399999999999999</v>
      </c>
    </row>
    <row r="70" spans="2:32" x14ac:dyDescent="0.3">
      <c r="B70" s="111">
        <v>10.833333333333329</v>
      </c>
      <c r="C70" s="104">
        <v>15.44</v>
      </c>
      <c r="D70" s="75">
        <v>15.41</v>
      </c>
      <c r="E70" s="75">
        <v>15.36</v>
      </c>
      <c r="F70" s="75">
        <v>-1.927</v>
      </c>
      <c r="G70" s="75">
        <v>-2.089</v>
      </c>
      <c r="H70" s="105">
        <v>-2.1859999999999999</v>
      </c>
      <c r="I70" s="104">
        <v>15.38</v>
      </c>
      <c r="J70" s="75">
        <v>15.33</v>
      </c>
      <c r="K70" s="75">
        <v>15.28</v>
      </c>
      <c r="L70" s="75">
        <v>-1.921</v>
      </c>
      <c r="M70" s="75">
        <v>-1.4810000000000001</v>
      </c>
      <c r="N70" s="105">
        <v>-1.448</v>
      </c>
      <c r="O70" s="104">
        <v>31.24</v>
      </c>
      <c r="P70" s="75">
        <v>31.24</v>
      </c>
      <c r="Q70" s="75">
        <v>31.23</v>
      </c>
      <c r="R70" s="75">
        <v>-1.3480000000000001</v>
      </c>
      <c r="S70" s="75">
        <v>-1.754</v>
      </c>
      <c r="T70" s="105">
        <v>-1.944</v>
      </c>
      <c r="U70" s="104">
        <v>31.05</v>
      </c>
      <c r="V70" s="75">
        <v>31.01</v>
      </c>
      <c r="W70" s="75">
        <v>30.98</v>
      </c>
      <c r="X70" s="75">
        <v>-2.8029999999999999</v>
      </c>
      <c r="Y70" s="75">
        <v>-2.544</v>
      </c>
      <c r="Z70" s="105">
        <v>-3.1549999999999998</v>
      </c>
      <c r="AA70" s="104">
        <v>15.32</v>
      </c>
      <c r="AB70" s="75">
        <v>15.26</v>
      </c>
      <c r="AC70" s="75">
        <v>15.2</v>
      </c>
      <c r="AD70" s="75">
        <v>-1.127</v>
      </c>
      <c r="AE70" s="75">
        <v>-0.76</v>
      </c>
      <c r="AF70" s="105">
        <v>-0.79400000000000004</v>
      </c>
    </row>
    <row r="71" spans="2:32" x14ac:dyDescent="0.3">
      <c r="B71" s="111">
        <v>10.999999999999995</v>
      </c>
      <c r="C71" s="104">
        <v>15.36</v>
      </c>
      <c r="D71" s="75">
        <v>15.34</v>
      </c>
      <c r="E71" s="75">
        <v>15.29</v>
      </c>
      <c r="F71" s="75">
        <v>-1.899</v>
      </c>
      <c r="G71" s="75">
        <v>-2.073</v>
      </c>
      <c r="H71" s="105">
        <v>-2.133</v>
      </c>
      <c r="I71" s="104">
        <v>15.31</v>
      </c>
      <c r="J71" s="75">
        <v>15.26</v>
      </c>
      <c r="K71" s="75">
        <v>15.2</v>
      </c>
      <c r="L71" s="75">
        <v>-1.671</v>
      </c>
      <c r="M71" s="75">
        <v>-1.4159999999999999</v>
      </c>
      <c r="N71" s="105">
        <v>-1.528</v>
      </c>
      <c r="O71" s="104">
        <v>31.16</v>
      </c>
      <c r="P71" s="75">
        <v>31.17</v>
      </c>
      <c r="Q71" s="75">
        <v>31.16</v>
      </c>
      <c r="R71" s="75">
        <v>-1.5429999999999999</v>
      </c>
      <c r="S71" s="75">
        <v>-1.762</v>
      </c>
      <c r="T71" s="105">
        <v>-1.85</v>
      </c>
      <c r="U71" s="104">
        <v>30.98</v>
      </c>
      <c r="V71" s="75">
        <v>30.93</v>
      </c>
      <c r="W71" s="75">
        <v>30.91</v>
      </c>
      <c r="X71" s="75">
        <v>-2.7429999999999999</v>
      </c>
      <c r="Y71" s="75">
        <v>-2.085</v>
      </c>
      <c r="Z71" s="105">
        <v>-3.4830000000000001</v>
      </c>
      <c r="AA71" s="104">
        <v>15.25</v>
      </c>
      <c r="AB71" s="75">
        <v>15.19</v>
      </c>
      <c r="AC71" s="75">
        <v>15.12</v>
      </c>
      <c r="AD71" s="75">
        <v>-1.145</v>
      </c>
      <c r="AE71" s="75">
        <v>-0.73399999999999999</v>
      </c>
      <c r="AF71" s="105">
        <v>-0.71899999999999997</v>
      </c>
    </row>
    <row r="72" spans="2:32" x14ac:dyDescent="0.3">
      <c r="B72" s="111">
        <v>11.166666666666661</v>
      </c>
      <c r="C72" s="104">
        <v>15.29</v>
      </c>
      <c r="D72" s="75">
        <v>15.27</v>
      </c>
      <c r="E72" s="75">
        <v>15.21</v>
      </c>
      <c r="F72" s="75">
        <v>-1.9319999999999999</v>
      </c>
      <c r="G72" s="75">
        <v>-2.032</v>
      </c>
      <c r="H72" s="105">
        <v>-2.2839999999999998</v>
      </c>
      <c r="I72" s="104">
        <v>15.24</v>
      </c>
      <c r="J72" s="75">
        <v>15.19</v>
      </c>
      <c r="K72" s="75">
        <v>15.12</v>
      </c>
      <c r="L72" s="75">
        <v>-1.679</v>
      </c>
      <c r="M72" s="75">
        <v>-1.3440000000000001</v>
      </c>
      <c r="N72" s="105">
        <v>-1.3939999999999999</v>
      </c>
      <c r="O72" s="104">
        <v>31.09</v>
      </c>
      <c r="P72" s="75">
        <v>31.09</v>
      </c>
      <c r="Q72" s="75">
        <v>31.09</v>
      </c>
      <c r="R72" s="75">
        <v>-1.488</v>
      </c>
      <c r="S72" s="75">
        <v>-1.61</v>
      </c>
      <c r="T72" s="105">
        <v>-1.718</v>
      </c>
      <c r="U72" s="104">
        <v>30.91</v>
      </c>
      <c r="V72" s="75">
        <v>30.86</v>
      </c>
      <c r="W72" s="75">
        <v>30.84</v>
      </c>
      <c r="X72" s="75">
        <v>-2.4300000000000002</v>
      </c>
      <c r="Y72" s="75">
        <v>-2.5459999999999998</v>
      </c>
      <c r="Z72" s="105">
        <v>-3.157</v>
      </c>
      <c r="AA72" s="104">
        <v>15.17</v>
      </c>
      <c r="AB72" s="75">
        <v>15.11</v>
      </c>
      <c r="AC72" s="75">
        <v>15.04</v>
      </c>
      <c r="AD72" s="75">
        <v>-1.143</v>
      </c>
      <c r="AE72" s="75">
        <v>-0.71499999999999997</v>
      </c>
      <c r="AF72" s="105">
        <v>-0.88200000000000001</v>
      </c>
    </row>
    <row r="73" spans="2:32" x14ac:dyDescent="0.3">
      <c r="B73" s="111">
        <v>11.333333333333327</v>
      </c>
      <c r="C73" s="104">
        <v>15.22</v>
      </c>
      <c r="D73" s="75">
        <v>15.19</v>
      </c>
      <c r="E73" s="75">
        <v>15.14</v>
      </c>
      <c r="F73" s="75">
        <v>-1.6890000000000001</v>
      </c>
      <c r="G73" s="75">
        <v>-2.129</v>
      </c>
      <c r="H73" s="105">
        <v>-2.1869999999999998</v>
      </c>
      <c r="I73" s="104">
        <v>15.16</v>
      </c>
      <c r="J73" s="75">
        <v>15.11</v>
      </c>
      <c r="K73" s="75">
        <v>15.06</v>
      </c>
      <c r="L73" s="75">
        <v>-1.657</v>
      </c>
      <c r="M73" s="75">
        <v>-1.3740000000000001</v>
      </c>
      <c r="N73" s="105">
        <v>-1.615</v>
      </c>
      <c r="O73" s="104">
        <v>31.02</v>
      </c>
      <c r="P73" s="75">
        <v>31.02</v>
      </c>
      <c r="Q73" s="75">
        <v>31.02</v>
      </c>
      <c r="R73" s="75">
        <v>-1.4690000000000001</v>
      </c>
      <c r="S73" s="75">
        <v>-1.8879999999999999</v>
      </c>
      <c r="T73" s="105">
        <v>-1.7490000000000001</v>
      </c>
      <c r="U73" s="104">
        <v>30.84</v>
      </c>
      <c r="V73" s="75">
        <v>30.79</v>
      </c>
      <c r="W73" s="75">
        <v>30.77</v>
      </c>
      <c r="X73" s="75">
        <v>-2.831</v>
      </c>
      <c r="Y73" s="75">
        <v>-2.581</v>
      </c>
      <c r="Z73" s="105">
        <v>-2.8370000000000002</v>
      </c>
      <c r="AA73" s="104">
        <v>15.1</v>
      </c>
      <c r="AB73" s="75">
        <v>15.03</v>
      </c>
      <c r="AC73" s="75">
        <v>14.97</v>
      </c>
      <c r="AD73" s="75">
        <v>-0.83199999999999996</v>
      </c>
      <c r="AE73" s="75">
        <v>-0.79700000000000004</v>
      </c>
      <c r="AF73" s="105">
        <v>-0.78300000000000003</v>
      </c>
    </row>
    <row r="74" spans="2:32" x14ac:dyDescent="0.3">
      <c r="B74" s="111">
        <v>11.499999999999993</v>
      </c>
      <c r="C74" s="104">
        <v>15.15</v>
      </c>
      <c r="D74" s="75">
        <v>15.13</v>
      </c>
      <c r="E74" s="75">
        <v>15.07</v>
      </c>
      <c r="F74" s="75">
        <v>-1.78</v>
      </c>
      <c r="G74" s="75">
        <v>-1.9419999999999999</v>
      </c>
      <c r="H74" s="105">
        <v>-2.1080000000000001</v>
      </c>
      <c r="I74" s="104">
        <v>15.1</v>
      </c>
      <c r="J74" s="75">
        <v>15.05</v>
      </c>
      <c r="K74" s="75">
        <v>14.99</v>
      </c>
      <c r="L74" s="75">
        <v>-1.379</v>
      </c>
      <c r="M74" s="75">
        <v>-1.524</v>
      </c>
      <c r="N74" s="105">
        <v>-1.492</v>
      </c>
      <c r="O74" s="104">
        <v>30.97</v>
      </c>
      <c r="P74" s="75">
        <v>30.95</v>
      </c>
      <c r="Q74" s="75">
        <v>30.94</v>
      </c>
      <c r="R74" s="75">
        <v>-1.5069999999999999</v>
      </c>
      <c r="S74" s="75">
        <v>-1.81</v>
      </c>
      <c r="T74" s="105">
        <v>-1.9790000000000001</v>
      </c>
      <c r="U74" s="104">
        <v>30.79</v>
      </c>
      <c r="V74" s="75">
        <v>30.73</v>
      </c>
      <c r="W74" s="75">
        <v>30.7</v>
      </c>
      <c r="X74" s="75">
        <v>-2.9089999999999998</v>
      </c>
      <c r="Y74" s="75">
        <v>-2.5489999999999999</v>
      </c>
      <c r="Z74" s="105">
        <v>-3.16</v>
      </c>
      <c r="AA74" s="104">
        <v>15.03</v>
      </c>
      <c r="AB74" s="75">
        <v>14.97</v>
      </c>
      <c r="AC74" s="75">
        <v>14.9</v>
      </c>
      <c r="AD74" s="75">
        <v>-0.90400000000000003</v>
      </c>
      <c r="AE74" s="75">
        <v>-0.66200000000000003</v>
      </c>
      <c r="AF74" s="105">
        <v>-0.65200000000000002</v>
      </c>
    </row>
    <row r="75" spans="2:32" x14ac:dyDescent="0.3">
      <c r="B75" s="111">
        <v>11.666666666666659</v>
      </c>
      <c r="C75" s="104">
        <v>15.08</v>
      </c>
      <c r="D75" s="75">
        <v>15.06</v>
      </c>
      <c r="E75" s="75">
        <v>15</v>
      </c>
      <c r="F75" s="75">
        <v>-1.869</v>
      </c>
      <c r="G75" s="75">
        <v>-2.0089999999999999</v>
      </c>
      <c r="H75" s="105">
        <v>-2.0750000000000002</v>
      </c>
      <c r="I75" s="104">
        <v>15.02</v>
      </c>
      <c r="J75" s="75">
        <v>14.98</v>
      </c>
      <c r="K75" s="75">
        <v>14.91</v>
      </c>
      <c r="L75" s="75">
        <v>-1.448</v>
      </c>
      <c r="M75" s="75">
        <v>-1.3160000000000001</v>
      </c>
      <c r="N75" s="105">
        <v>-1.44</v>
      </c>
      <c r="O75" s="104">
        <v>30.92</v>
      </c>
      <c r="P75" s="75">
        <v>30.87</v>
      </c>
      <c r="Q75" s="75">
        <v>30.88</v>
      </c>
      <c r="R75" s="75">
        <v>-1.417</v>
      </c>
      <c r="S75" s="75">
        <v>-1.7110000000000001</v>
      </c>
      <c r="T75" s="105">
        <v>-1.8149999999999999</v>
      </c>
      <c r="U75" s="104">
        <v>30.74</v>
      </c>
      <c r="V75" s="75">
        <v>30.65</v>
      </c>
      <c r="W75" s="75">
        <v>30.64</v>
      </c>
      <c r="X75" s="75">
        <v>-2.8980000000000001</v>
      </c>
      <c r="Y75" s="75">
        <v>-2.4089999999999998</v>
      </c>
      <c r="Z75" s="105">
        <v>-3.2229999999999999</v>
      </c>
      <c r="AA75" s="104">
        <v>14.96</v>
      </c>
      <c r="AB75" s="75">
        <v>14.9</v>
      </c>
      <c r="AC75" s="75">
        <v>14.83</v>
      </c>
      <c r="AD75" s="75">
        <v>-0.995</v>
      </c>
      <c r="AE75" s="75">
        <v>-0.65700000000000003</v>
      </c>
      <c r="AF75" s="105">
        <v>-0.60599999999999998</v>
      </c>
    </row>
    <row r="76" spans="2:32" x14ac:dyDescent="0.3">
      <c r="B76" s="111">
        <v>11.833333333333325</v>
      </c>
      <c r="C76" s="104">
        <v>15</v>
      </c>
      <c r="D76" s="75">
        <v>14.98</v>
      </c>
      <c r="E76" s="75">
        <v>14.92</v>
      </c>
      <c r="F76" s="75">
        <v>-1.8069999999999999</v>
      </c>
      <c r="G76" s="75">
        <v>-1.9410000000000001</v>
      </c>
      <c r="H76" s="105">
        <v>-2.198</v>
      </c>
      <c r="I76" s="104">
        <v>14.95</v>
      </c>
      <c r="J76" s="75">
        <v>14.9</v>
      </c>
      <c r="K76" s="75">
        <v>14.84</v>
      </c>
      <c r="L76" s="75">
        <v>-1.573</v>
      </c>
      <c r="M76" s="75">
        <v>-1.355</v>
      </c>
      <c r="N76" s="105">
        <v>-1.3029999999999999</v>
      </c>
      <c r="O76" s="104">
        <v>30.82</v>
      </c>
      <c r="P76" s="75">
        <v>30.81</v>
      </c>
      <c r="Q76" s="75">
        <v>30.81</v>
      </c>
      <c r="R76" s="75">
        <v>-1.5660000000000001</v>
      </c>
      <c r="S76" s="75">
        <v>-1.7150000000000001</v>
      </c>
      <c r="T76" s="105">
        <v>-2.0089999999999999</v>
      </c>
      <c r="U76" s="104">
        <v>30.65</v>
      </c>
      <c r="V76" s="75">
        <v>30.59</v>
      </c>
      <c r="W76" s="75">
        <v>30.57</v>
      </c>
      <c r="X76" s="75">
        <v>-2.806</v>
      </c>
      <c r="Y76" s="75">
        <v>-2.5510000000000002</v>
      </c>
      <c r="Z76" s="105">
        <v>-3.1619999999999999</v>
      </c>
      <c r="AA76" s="104">
        <v>14.88</v>
      </c>
      <c r="AB76" s="75">
        <v>14.82</v>
      </c>
      <c r="AC76" s="75">
        <v>14.75</v>
      </c>
      <c r="AD76" s="75">
        <v>-0.95</v>
      </c>
      <c r="AE76" s="75">
        <v>-0.60899999999999999</v>
      </c>
      <c r="AF76" s="105">
        <v>-0.73499999999999999</v>
      </c>
    </row>
    <row r="77" spans="2:32" x14ac:dyDescent="0.3">
      <c r="B77" s="111">
        <v>11.999999999999991</v>
      </c>
      <c r="C77" s="104">
        <v>14.93</v>
      </c>
      <c r="D77" s="75">
        <v>14.92</v>
      </c>
      <c r="E77" s="75">
        <v>14.85</v>
      </c>
      <c r="F77" s="75">
        <v>-1.833</v>
      </c>
      <c r="G77" s="75">
        <v>-2.052</v>
      </c>
      <c r="H77" s="105">
        <v>-2.25</v>
      </c>
      <c r="I77" s="104">
        <v>14.88</v>
      </c>
      <c r="J77" s="75">
        <v>14.84</v>
      </c>
      <c r="K77" s="75">
        <v>14.77</v>
      </c>
      <c r="L77" s="75">
        <v>-1.5129999999999999</v>
      </c>
      <c r="M77" s="75">
        <v>-1.236</v>
      </c>
      <c r="N77" s="105">
        <v>-1.369</v>
      </c>
      <c r="O77" s="104">
        <v>30.74</v>
      </c>
      <c r="P77" s="75">
        <v>30.75</v>
      </c>
      <c r="Q77" s="75">
        <v>30.74</v>
      </c>
      <c r="R77" s="75">
        <v>-1.5029999999999999</v>
      </c>
      <c r="S77" s="75">
        <v>-1.504</v>
      </c>
      <c r="T77" s="105">
        <v>-1.734</v>
      </c>
      <c r="U77" s="104">
        <v>30.57</v>
      </c>
      <c r="V77" s="75">
        <v>30.53</v>
      </c>
      <c r="W77" s="75">
        <v>30.5</v>
      </c>
      <c r="X77" s="75">
        <v>-2.7429999999999999</v>
      </c>
      <c r="Y77" s="75">
        <v>-2.3759999999999999</v>
      </c>
      <c r="Z77" s="105">
        <v>-2.9079999999999999</v>
      </c>
      <c r="AA77" s="104">
        <v>14.81</v>
      </c>
      <c r="AB77" s="75">
        <v>14.75</v>
      </c>
      <c r="AC77" s="75">
        <v>14.68</v>
      </c>
      <c r="AD77" s="75">
        <v>-0.94099999999999995</v>
      </c>
      <c r="AE77" s="75">
        <v>-0.73599999999999999</v>
      </c>
      <c r="AF77" s="105">
        <v>-0.82899999999999996</v>
      </c>
    </row>
    <row r="78" spans="2:32" x14ac:dyDescent="0.3">
      <c r="B78" s="111">
        <v>12.166666666666657</v>
      </c>
      <c r="C78" s="104">
        <v>14.86</v>
      </c>
      <c r="D78" s="75">
        <v>14.84</v>
      </c>
      <c r="E78" s="75">
        <v>14.77</v>
      </c>
      <c r="F78" s="75">
        <v>-1.823</v>
      </c>
      <c r="G78" s="75">
        <v>-2.17</v>
      </c>
      <c r="H78" s="105">
        <v>-2.5840000000000001</v>
      </c>
      <c r="I78" s="104">
        <v>14.81</v>
      </c>
      <c r="J78" s="75">
        <v>14.76</v>
      </c>
      <c r="K78" s="75">
        <v>14.69</v>
      </c>
      <c r="L78" s="75">
        <v>-1.476</v>
      </c>
      <c r="M78" s="75">
        <v>-1.478</v>
      </c>
      <c r="N78" s="105">
        <v>-1.492</v>
      </c>
      <c r="O78" s="104">
        <v>30.67</v>
      </c>
      <c r="P78" s="75">
        <v>30.69</v>
      </c>
      <c r="Q78" s="75">
        <v>30.66</v>
      </c>
      <c r="R78" s="75">
        <v>-1.476</v>
      </c>
      <c r="S78" s="75">
        <v>-1.8939999999999999</v>
      </c>
      <c r="T78" s="105">
        <v>-2.048</v>
      </c>
      <c r="U78" s="104">
        <v>30.5</v>
      </c>
      <c r="V78" s="75">
        <v>30.47</v>
      </c>
      <c r="W78" s="75">
        <v>30.43</v>
      </c>
      <c r="X78" s="75">
        <v>-2.6909999999999998</v>
      </c>
      <c r="Y78" s="75">
        <v>-2.5529999999999999</v>
      </c>
      <c r="Z78" s="105">
        <v>-3.1640000000000001</v>
      </c>
      <c r="AA78" s="104">
        <v>14.74</v>
      </c>
      <c r="AB78" s="75">
        <v>14.67</v>
      </c>
      <c r="AC78" s="75">
        <v>14.59</v>
      </c>
      <c r="AD78" s="75">
        <v>-0.91700000000000004</v>
      </c>
      <c r="AE78" s="75">
        <v>-0.85599999999999998</v>
      </c>
      <c r="AF78" s="105">
        <v>-1.1479999999999999</v>
      </c>
    </row>
    <row r="79" spans="2:32" x14ac:dyDescent="0.3">
      <c r="B79" s="111">
        <v>12.333333333333323</v>
      </c>
      <c r="C79" s="104">
        <v>14.79</v>
      </c>
      <c r="D79" s="75">
        <v>14.76</v>
      </c>
      <c r="E79" s="75">
        <v>14.68</v>
      </c>
      <c r="F79" s="75">
        <v>-1.734</v>
      </c>
      <c r="G79" s="75">
        <v>-2.1829999999999998</v>
      </c>
      <c r="H79" s="105">
        <v>-2.5259999999999998</v>
      </c>
      <c r="I79" s="104">
        <v>14.74</v>
      </c>
      <c r="J79" s="75">
        <v>14.68</v>
      </c>
      <c r="K79" s="75">
        <v>14.6</v>
      </c>
      <c r="L79" s="75">
        <v>-1.496</v>
      </c>
      <c r="M79" s="75">
        <v>-1.5129999999999999</v>
      </c>
      <c r="N79" s="105">
        <v>-1.9259999999999999</v>
      </c>
      <c r="O79" s="104">
        <v>30.6</v>
      </c>
      <c r="P79" s="75">
        <v>30.62</v>
      </c>
      <c r="Q79" s="75">
        <v>30.58</v>
      </c>
      <c r="R79" s="75">
        <v>-1.427</v>
      </c>
      <c r="S79" s="75">
        <v>-1.849</v>
      </c>
      <c r="T79" s="105">
        <v>-1.9930000000000001</v>
      </c>
      <c r="U79" s="104">
        <v>30.43</v>
      </c>
      <c r="V79" s="75">
        <v>30.4</v>
      </c>
      <c r="W79" s="75">
        <v>30.35</v>
      </c>
      <c r="X79" s="75">
        <v>-2.645</v>
      </c>
      <c r="Y79" s="75">
        <v>-2.6589999999999998</v>
      </c>
      <c r="Z79" s="105">
        <v>-2.746</v>
      </c>
      <c r="AA79" s="104">
        <v>14.67</v>
      </c>
      <c r="AB79" s="75">
        <v>14.6</v>
      </c>
      <c r="AC79" s="75">
        <v>14.5</v>
      </c>
      <c r="AD79" s="75">
        <v>-0.80500000000000005</v>
      </c>
      <c r="AE79" s="75">
        <v>-0.90800000000000003</v>
      </c>
      <c r="AF79" s="105">
        <v>-1.0780000000000001</v>
      </c>
    </row>
    <row r="80" spans="2:32" x14ac:dyDescent="0.3">
      <c r="B80" s="111">
        <v>12.499999999999989</v>
      </c>
      <c r="C80" s="104">
        <v>14.73</v>
      </c>
      <c r="D80" s="75">
        <v>14.67</v>
      </c>
      <c r="E80" s="75">
        <v>14.6</v>
      </c>
      <c r="F80" s="75">
        <v>-1.734</v>
      </c>
      <c r="G80" s="75">
        <v>-2.4049999999999998</v>
      </c>
      <c r="H80" s="105">
        <v>-2.2450000000000001</v>
      </c>
      <c r="I80" s="104">
        <v>14.67</v>
      </c>
      <c r="J80" s="75">
        <v>14.59</v>
      </c>
      <c r="K80" s="75">
        <v>14.52</v>
      </c>
      <c r="L80" s="75">
        <v>-1.3169999999999999</v>
      </c>
      <c r="M80" s="75">
        <v>-1.5640000000000001</v>
      </c>
      <c r="N80" s="105">
        <v>-1.859</v>
      </c>
      <c r="O80" s="104">
        <v>30.52</v>
      </c>
      <c r="P80" s="75">
        <v>30.55</v>
      </c>
      <c r="Q80" s="75">
        <v>30.5</v>
      </c>
      <c r="R80" s="75">
        <v>-1.3660000000000001</v>
      </c>
      <c r="S80" s="75">
        <v>-1.62</v>
      </c>
      <c r="T80" s="105">
        <v>-1.9790000000000001</v>
      </c>
      <c r="U80" s="104">
        <v>30.36</v>
      </c>
      <c r="V80" s="75">
        <v>30.33</v>
      </c>
      <c r="W80" s="75">
        <v>30.27</v>
      </c>
      <c r="X80" s="75">
        <v>-2.6179999999999999</v>
      </c>
      <c r="Y80" s="75">
        <v>-2.556</v>
      </c>
      <c r="Z80" s="105">
        <v>-3.1669999999999998</v>
      </c>
      <c r="AA80" s="104">
        <v>14.6</v>
      </c>
      <c r="AB80" s="75">
        <v>14.5</v>
      </c>
      <c r="AC80" s="75">
        <v>14.43</v>
      </c>
      <c r="AD80" s="75">
        <v>-0.79700000000000004</v>
      </c>
      <c r="AE80" s="75">
        <v>-1.0529999999999999</v>
      </c>
      <c r="AF80" s="105">
        <v>-0.71499999999999997</v>
      </c>
    </row>
    <row r="81" spans="2:32" x14ac:dyDescent="0.3">
      <c r="B81" s="111">
        <v>12.666666666666655</v>
      </c>
      <c r="C81" s="104">
        <v>14.65</v>
      </c>
      <c r="D81" s="75">
        <v>14.59</v>
      </c>
      <c r="E81" s="75">
        <v>14.53</v>
      </c>
      <c r="F81" s="75">
        <v>-2.1920000000000002</v>
      </c>
      <c r="G81" s="75">
        <v>-2.2450000000000001</v>
      </c>
      <c r="H81" s="105">
        <v>-2.3690000000000002</v>
      </c>
      <c r="I81" s="104">
        <v>14.6</v>
      </c>
      <c r="J81" s="75">
        <v>14.51</v>
      </c>
      <c r="K81" s="75">
        <v>14.45</v>
      </c>
      <c r="L81" s="75">
        <v>-1.357</v>
      </c>
      <c r="M81" s="75">
        <v>-1.7070000000000001</v>
      </c>
      <c r="N81" s="105">
        <v>-1.4910000000000001</v>
      </c>
      <c r="O81" s="104">
        <v>30.45</v>
      </c>
      <c r="P81" s="75">
        <v>30.47</v>
      </c>
      <c r="Q81" s="75">
        <v>30.43</v>
      </c>
      <c r="R81" s="75">
        <v>-1.464</v>
      </c>
      <c r="S81" s="75">
        <v>-1.716</v>
      </c>
      <c r="T81" s="105">
        <v>-1.899</v>
      </c>
      <c r="U81" s="104">
        <v>30.28</v>
      </c>
      <c r="V81" s="75">
        <v>30.26</v>
      </c>
      <c r="W81" s="75">
        <v>30.2</v>
      </c>
      <c r="X81" s="75">
        <v>-2.6549999999999998</v>
      </c>
      <c r="Y81" s="75">
        <v>-1.71</v>
      </c>
      <c r="Z81" s="105">
        <v>-3.3559999999999999</v>
      </c>
      <c r="AA81" s="104">
        <v>14.53</v>
      </c>
      <c r="AB81" s="75">
        <v>14.42</v>
      </c>
      <c r="AC81" s="75">
        <v>14.35</v>
      </c>
      <c r="AD81" s="75">
        <v>-1.28</v>
      </c>
      <c r="AE81" s="75">
        <v>-0.88400000000000001</v>
      </c>
      <c r="AF81" s="105">
        <v>-0.88100000000000001</v>
      </c>
    </row>
    <row r="82" spans="2:32" x14ac:dyDescent="0.3">
      <c r="B82" s="111">
        <v>12.833333333333321</v>
      </c>
      <c r="C82" s="104">
        <v>14.56</v>
      </c>
      <c r="D82" s="75">
        <v>14.5</v>
      </c>
      <c r="E82" s="75">
        <v>14.46</v>
      </c>
      <c r="F82" s="75">
        <v>-2.1909999999999998</v>
      </c>
      <c r="G82" s="75">
        <v>-2.2229999999999999</v>
      </c>
      <c r="H82" s="105">
        <v>-2.2149999999999999</v>
      </c>
      <c r="I82" s="104">
        <v>14.51</v>
      </c>
      <c r="J82" s="75">
        <v>14.43</v>
      </c>
      <c r="K82" s="75">
        <v>14.38</v>
      </c>
      <c r="L82" s="75">
        <v>-1.889</v>
      </c>
      <c r="M82" s="75">
        <v>-1.5760000000000001</v>
      </c>
      <c r="N82" s="105">
        <v>-1.667</v>
      </c>
      <c r="O82" s="104">
        <v>30.38</v>
      </c>
      <c r="P82" s="75">
        <v>30.4</v>
      </c>
      <c r="Q82" s="75">
        <v>30.37</v>
      </c>
      <c r="R82" s="75">
        <v>-1.3919999999999999</v>
      </c>
      <c r="S82" s="75">
        <v>-1.5980000000000001</v>
      </c>
      <c r="T82" s="105">
        <v>-2.0019999999999998</v>
      </c>
      <c r="U82" s="104">
        <v>30.22</v>
      </c>
      <c r="V82" s="75">
        <v>30.19</v>
      </c>
      <c r="W82" s="75">
        <v>30.14</v>
      </c>
      <c r="X82" s="75">
        <v>-2.6219999999999999</v>
      </c>
      <c r="Y82" s="75">
        <v>-2.5579999999999998</v>
      </c>
      <c r="Z82" s="105">
        <v>-3.169</v>
      </c>
      <c r="AA82" s="104">
        <v>14.44</v>
      </c>
      <c r="AB82" s="75">
        <v>14.34</v>
      </c>
      <c r="AC82" s="75">
        <v>14.28</v>
      </c>
      <c r="AD82" s="75">
        <v>-1.3089999999999999</v>
      </c>
      <c r="AE82" s="75">
        <v>-0.90200000000000002</v>
      </c>
      <c r="AF82" s="105">
        <v>-0.72199999999999998</v>
      </c>
    </row>
    <row r="83" spans="2:32" x14ac:dyDescent="0.3">
      <c r="B83" s="111">
        <v>12.999999999999988</v>
      </c>
      <c r="C83" s="104">
        <v>14.49</v>
      </c>
      <c r="D83" s="75">
        <v>14.42</v>
      </c>
      <c r="E83" s="75">
        <v>14.39</v>
      </c>
      <c r="F83" s="75">
        <v>-2.0950000000000002</v>
      </c>
      <c r="G83" s="75">
        <v>-2.3460000000000001</v>
      </c>
      <c r="H83" s="105">
        <v>-2.1469999999999998</v>
      </c>
      <c r="I83" s="104">
        <v>14.44</v>
      </c>
      <c r="J83" s="75">
        <v>14.35</v>
      </c>
      <c r="K83" s="75">
        <v>14.31</v>
      </c>
      <c r="L83" s="75">
        <v>-1.9019999999999999</v>
      </c>
      <c r="M83" s="75">
        <v>-1.556</v>
      </c>
      <c r="N83" s="105">
        <v>-1.502</v>
      </c>
      <c r="O83" s="104">
        <v>30.31</v>
      </c>
      <c r="P83" s="75">
        <v>30.33</v>
      </c>
      <c r="Q83" s="75">
        <v>30.31</v>
      </c>
      <c r="R83" s="75">
        <v>-1.4690000000000001</v>
      </c>
      <c r="S83" s="75">
        <v>-1.6830000000000001</v>
      </c>
      <c r="T83" s="105">
        <v>-2.1179999999999999</v>
      </c>
      <c r="U83" s="104">
        <v>30.15</v>
      </c>
      <c r="V83" s="75">
        <v>30.12</v>
      </c>
      <c r="W83" s="75">
        <v>30.08</v>
      </c>
      <c r="X83" s="75">
        <v>-2.8010000000000002</v>
      </c>
      <c r="Y83" s="75">
        <v>-2.6219999999999999</v>
      </c>
      <c r="Z83" s="105">
        <v>-3.1930000000000001</v>
      </c>
      <c r="AA83" s="104">
        <v>14.36</v>
      </c>
      <c r="AB83" s="75">
        <v>14.26</v>
      </c>
      <c r="AC83" s="75">
        <v>14.21</v>
      </c>
      <c r="AD83" s="75">
        <v>-1.157</v>
      </c>
      <c r="AE83" s="75">
        <v>-0.97299999999999998</v>
      </c>
      <c r="AF83" s="105">
        <v>-0.66100000000000003</v>
      </c>
    </row>
    <row r="84" spans="2:32" x14ac:dyDescent="0.3">
      <c r="B84" s="111">
        <v>13.166666666666654</v>
      </c>
      <c r="C84" s="104">
        <v>14.41</v>
      </c>
      <c r="D84" s="75">
        <v>14.36</v>
      </c>
      <c r="E84" s="75">
        <v>14.32</v>
      </c>
      <c r="F84" s="75">
        <v>-1.9950000000000001</v>
      </c>
      <c r="G84" s="75">
        <v>-1.73</v>
      </c>
      <c r="H84" s="105">
        <v>-2.141</v>
      </c>
      <c r="I84" s="104">
        <v>14.35</v>
      </c>
      <c r="J84" s="75">
        <v>14.28</v>
      </c>
      <c r="K84" s="75">
        <v>14.24</v>
      </c>
      <c r="L84" s="75">
        <v>-1.778</v>
      </c>
      <c r="M84" s="75">
        <v>-1.732</v>
      </c>
      <c r="N84" s="105">
        <v>-1.4139999999999999</v>
      </c>
      <c r="O84" s="104">
        <v>30.22</v>
      </c>
      <c r="P84" s="75">
        <v>30.24</v>
      </c>
      <c r="Q84" s="75">
        <v>30.22</v>
      </c>
      <c r="R84" s="75">
        <v>-1.3859999999999999</v>
      </c>
      <c r="S84" s="75">
        <v>-1.595</v>
      </c>
      <c r="T84" s="105">
        <v>-1.9350000000000001</v>
      </c>
      <c r="U84" s="104">
        <v>30.07</v>
      </c>
      <c r="V84" s="75">
        <v>30.04</v>
      </c>
      <c r="W84" s="75">
        <v>30</v>
      </c>
      <c r="X84" s="75">
        <v>-3.0920000000000001</v>
      </c>
      <c r="Y84" s="75">
        <v>-2.5609999999999999</v>
      </c>
      <c r="Z84" s="105">
        <v>-3.1720000000000002</v>
      </c>
      <c r="AA84" s="104">
        <v>14.28</v>
      </c>
      <c r="AB84" s="75">
        <v>14.2</v>
      </c>
      <c r="AC84" s="75">
        <v>14.14</v>
      </c>
      <c r="AD84" s="75">
        <v>-1.004</v>
      </c>
      <c r="AE84" s="75">
        <v>-0.42</v>
      </c>
      <c r="AF84" s="105">
        <v>-0.59099999999999997</v>
      </c>
    </row>
    <row r="85" spans="2:32" x14ac:dyDescent="0.3">
      <c r="B85" s="111">
        <v>13.33333333333332</v>
      </c>
      <c r="C85" s="104">
        <v>14.33</v>
      </c>
      <c r="D85" s="75">
        <v>14.3</v>
      </c>
      <c r="E85" s="75">
        <v>14.24</v>
      </c>
      <c r="F85" s="75">
        <v>-2.0070000000000001</v>
      </c>
      <c r="G85" s="75">
        <v>-1.7909999999999999</v>
      </c>
      <c r="H85" s="105">
        <v>-2.3279999999999998</v>
      </c>
      <c r="I85" s="104">
        <v>14.28</v>
      </c>
      <c r="J85" s="75">
        <v>14.22</v>
      </c>
      <c r="K85" s="75">
        <v>14.16</v>
      </c>
      <c r="L85" s="75">
        <v>-1.59</v>
      </c>
      <c r="M85" s="75">
        <v>-1.0760000000000001</v>
      </c>
      <c r="N85" s="105">
        <v>-1.343</v>
      </c>
      <c r="O85" s="104">
        <v>30.14</v>
      </c>
      <c r="P85" s="75">
        <v>30.16</v>
      </c>
      <c r="Q85" s="75">
        <v>30.14</v>
      </c>
      <c r="R85" s="75">
        <v>-1.2490000000000001</v>
      </c>
      <c r="S85" s="75">
        <v>-1.714</v>
      </c>
      <c r="T85" s="105">
        <v>-1.9379999999999999</v>
      </c>
      <c r="U85" s="104">
        <v>29.99</v>
      </c>
      <c r="V85" s="75">
        <v>29.96</v>
      </c>
      <c r="W85" s="75">
        <v>29.92</v>
      </c>
      <c r="X85" s="75">
        <v>-2.871</v>
      </c>
      <c r="Y85" s="75">
        <v>-2.3079999999999998</v>
      </c>
      <c r="Z85" s="105">
        <v>-3.339</v>
      </c>
      <c r="AA85" s="104">
        <v>14.2</v>
      </c>
      <c r="AB85" s="75">
        <v>14.13</v>
      </c>
      <c r="AC85" s="75">
        <v>14.06</v>
      </c>
      <c r="AD85" s="75">
        <v>-1.0549999999999999</v>
      </c>
      <c r="AE85" s="75">
        <v>-0.441</v>
      </c>
      <c r="AF85" s="105">
        <v>-0.755</v>
      </c>
    </row>
    <row r="86" spans="2:32" x14ac:dyDescent="0.3">
      <c r="B86" s="111">
        <v>13.499999999999986</v>
      </c>
      <c r="C86" s="104">
        <v>14.27</v>
      </c>
      <c r="D86" s="75">
        <v>14.24</v>
      </c>
      <c r="E86" s="75">
        <v>14.18</v>
      </c>
      <c r="F86" s="75">
        <v>-1.994</v>
      </c>
      <c r="G86" s="75">
        <v>-1.84</v>
      </c>
      <c r="H86" s="105">
        <v>-2.226</v>
      </c>
      <c r="I86" s="104">
        <v>14.21</v>
      </c>
      <c r="J86" s="75">
        <v>14.16</v>
      </c>
      <c r="K86" s="75">
        <v>14.09</v>
      </c>
      <c r="L86" s="75">
        <v>-1.7230000000000001</v>
      </c>
      <c r="M86" s="75">
        <v>-1.0960000000000001</v>
      </c>
      <c r="N86" s="105">
        <v>-1.5860000000000001</v>
      </c>
      <c r="O86" s="104">
        <v>30.06</v>
      </c>
      <c r="P86" s="75">
        <v>30.08</v>
      </c>
      <c r="Q86" s="75">
        <v>30.07</v>
      </c>
      <c r="R86" s="75">
        <v>-1.4950000000000001</v>
      </c>
      <c r="S86" s="75">
        <v>-1.7589999999999999</v>
      </c>
      <c r="T86" s="105">
        <v>-2.0680000000000001</v>
      </c>
      <c r="U86" s="104">
        <v>29.91</v>
      </c>
      <c r="V86" s="75">
        <v>29.88</v>
      </c>
      <c r="W86" s="75">
        <v>29.85</v>
      </c>
      <c r="X86" s="75">
        <v>-3.0920000000000001</v>
      </c>
      <c r="Y86" s="75">
        <v>-2.5630000000000002</v>
      </c>
      <c r="Z86" s="105">
        <v>-3.1739999999999999</v>
      </c>
      <c r="AA86" s="104">
        <v>14.14</v>
      </c>
      <c r="AB86" s="75">
        <v>14.07</v>
      </c>
      <c r="AC86" s="75">
        <v>13.99</v>
      </c>
      <c r="AD86" s="75">
        <v>-1.012</v>
      </c>
      <c r="AE86" s="75">
        <v>-0.40899999999999997</v>
      </c>
      <c r="AF86" s="105">
        <v>-0.69499999999999995</v>
      </c>
    </row>
    <row r="87" spans="2:32" x14ac:dyDescent="0.3">
      <c r="B87" s="111">
        <v>13.666666666666652</v>
      </c>
      <c r="C87" s="104">
        <v>14.19</v>
      </c>
      <c r="D87" s="75">
        <v>14.17</v>
      </c>
      <c r="E87" s="75">
        <v>14.11</v>
      </c>
      <c r="F87" s="75">
        <v>-1.9019999999999999</v>
      </c>
      <c r="G87" s="75">
        <v>-1.9510000000000001</v>
      </c>
      <c r="H87" s="105">
        <v>-2.194</v>
      </c>
      <c r="I87" s="104">
        <v>14.14</v>
      </c>
      <c r="J87" s="75">
        <v>14.09</v>
      </c>
      <c r="K87" s="75">
        <v>14.03</v>
      </c>
      <c r="L87" s="75">
        <v>-1.5940000000000001</v>
      </c>
      <c r="M87" s="75">
        <v>-1.0900000000000001</v>
      </c>
      <c r="N87" s="105">
        <v>-1.464</v>
      </c>
      <c r="O87" s="104">
        <v>29.99</v>
      </c>
      <c r="P87" s="75">
        <v>30.01</v>
      </c>
      <c r="Q87" s="75">
        <v>30</v>
      </c>
      <c r="R87" s="75">
        <v>-1.46</v>
      </c>
      <c r="S87" s="75">
        <v>-1.611</v>
      </c>
      <c r="T87" s="105">
        <v>-2.0720000000000001</v>
      </c>
      <c r="U87" s="104">
        <v>29.84</v>
      </c>
      <c r="V87" s="75">
        <v>29.82</v>
      </c>
      <c r="W87" s="75">
        <v>29.79</v>
      </c>
      <c r="X87" s="75">
        <v>-2.661</v>
      </c>
      <c r="Y87" s="75">
        <v>-2.5640000000000001</v>
      </c>
      <c r="Z87" s="105">
        <v>-2.89</v>
      </c>
      <c r="AA87" s="104">
        <v>14.07</v>
      </c>
      <c r="AB87" s="75">
        <v>14.01</v>
      </c>
      <c r="AC87" s="75">
        <v>13.93</v>
      </c>
      <c r="AD87" s="75">
        <v>-0.91100000000000003</v>
      </c>
      <c r="AE87" s="75">
        <v>-0.55300000000000005</v>
      </c>
      <c r="AF87" s="105">
        <v>-0.57499999999999996</v>
      </c>
    </row>
    <row r="88" spans="2:32" x14ac:dyDescent="0.3">
      <c r="B88" s="111">
        <v>13.833333333333318</v>
      </c>
      <c r="C88" s="104">
        <v>14.12</v>
      </c>
      <c r="D88" s="75">
        <v>14.1</v>
      </c>
      <c r="E88" s="75">
        <v>14.04</v>
      </c>
      <c r="F88" s="75">
        <v>-1.925</v>
      </c>
      <c r="G88" s="75">
        <v>-2.1800000000000002</v>
      </c>
      <c r="H88" s="105">
        <v>-2.2200000000000002</v>
      </c>
      <c r="I88" s="104">
        <v>14.06</v>
      </c>
      <c r="J88" s="75">
        <v>14.02</v>
      </c>
      <c r="K88" s="75">
        <v>13.96</v>
      </c>
      <c r="L88" s="75">
        <v>-1.528</v>
      </c>
      <c r="M88" s="75">
        <v>-1.2809999999999999</v>
      </c>
      <c r="N88" s="105">
        <v>-1.37</v>
      </c>
      <c r="O88" s="104">
        <v>29.92</v>
      </c>
      <c r="P88" s="75">
        <v>29.93</v>
      </c>
      <c r="Q88" s="75">
        <v>29.93</v>
      </c>
      <c r="R88" s="75">
        <v>-1.4059999999999999</v>
      </c>
      <c r="S88" s="75">
        <v>-1.885</v>
      </c>
      <c r="T88" s="105">
        <v>-1.802</v>
      </c>
      <c r="U88" s="104">
        <v>29.77</v>
      </c>
      <c r="V88" s="75">
        <v>29.74</v>
      </c>
      <c r="W88" s="75">
        <v>29.71</v>
      </c>
      <c r="X88" s="75">
        <v>-2.6640000000000001</v>
      </c>
      <c r="Y88" s="75">
        <v>-2.5649999999999999</v>
      </c>
      <c r="Z88" s="105">
        <v>-3.1760000000000002</v>
      </c>
      <c r="AA88" s="104">
        <v>13.99</v>
      </c>
      <c r="AB88" s="75">
        <v>13.93</v>
      </c>
      <c r="AC88" s="75">
        <v>13.86</v>
      </c>
      <c r="AD88" s="75">
        <v>-0.93799999999999994</v>
      </c>
      <c r="AE88" s="75">
        <v>-0.75</v>
      </c>
      <c r="AF88" s="105">
        <v>-0.65200000000000002</v>
      </c>
    </row>
    <row r="89" spans="2:32" x14ac:dyDescent="0.3">
      <c r="B89" s="111">
        <v>13.999999999999984</v>
      </c>
      <c r="C89" s="104">
        <v>14.04</v>
      </c>
      <c r="D89" s="75">
        <v>14.03</v>
      </c>
      <c r="E89" s="75">
        <v>13.97</v>
      </c>
      <c r="F89" s="75">
        <v>-2.016</v>
      </c>
      <c r="G89" s="75">
        <v>-2.2090000000000001</v>
      </c>
      <c r="H89" s="105">
        <v>-2.2160000000000002</v>
      </c>
      <c r="I89" s="104">
        <v>13.99</v>
      </c>
      <c r="J89" s="75">
        <v>13.95</v>
      </c>
      <c r="K89" s="75">
        <v>13.89</v>
      </c>
      <c r="L89" s="75">
        <v>-1.5109999999999999</v>
      </c>
      <c r="M89" s="75">
        <v>-1.4410000000000001</v>
      </c>
      <c r="N89" s="105">
        <v>-1.4750000000000001</v>
      </c>
      <c r="O89" s="104">
        <v>29.85</v>
      </c>
      <c r="P89" s="75">
        <v>29.86</v>
      </c>
      <c r="Q89" s="75">
        <v>29.85</v>
      </c>
      <c r="R89" s="75">
        <v>-1.5740000000000001</v>
      </c>
      <c r="S89" s="75">
        <v>-1.5620000000000001</v>
      </c>
      <c r="T89" s="105">
        <v>-2.028</v>
      </c>
      <c r="U89" s="104">
        <v>29.71</v>
      </c>
      <c r="V89" s="75">
        <v>29.67</v>
      </c>
      <c r="W89" s="75">
        <v>29.64</v>
      </c>
      <c r="X89" s="75">
        <v>-2.5339999999999998</v>
      </c>
      <c r="Y89" s="75">
        <v>-2.6150000000000002</v>
      </c>
      <c r="Z89" s="105">
        <v>-2.6269999999999998</v>
      </c>
      <c r="AA89" s="104">
        <v>13.91</v>
      </c>
      <c r="AB89" s="75">
        <v>13.86</v>
      </c>
      <c r="AC89" s="75">
        <v>13.79</v>
      </c>
      <c r="AD89" s="75">
        <v>-1.056</v>
      </c>
      <c r="AE89" s="75">
        <v>-0.80800000000000005</v>
      </c>
      <c r="AF89" s="105">
        <v>-0.59499999999999997</v>
      </c>
    </row>
    <row r="90" spans="2:32" x14ac:dyDescent="0.3">
      <c r="B90" s="111">
        <v>14.16666666666665</v>
      </c>
      <c r="C90" s="104">
        <v>13.98</v>
      </c>
      <c r="D90" s="75">
        <v>13.96</v>
      </c>
      <c r="E90" s="75">
        <v>13.9</v>
      </c>
      <c r="F90" s="75">
        <v>-1.996</v>
      </c>
      <c r="G90" s="75">
        <v>-2.1859999999999999</v>
      </c>
      <c r="H90" s="105">
        <v>-2.335</v>
      </c>
      <c r="I90" s="104">
        <v>13.92</v>
      </c>
      <c r="J90" s="75">
        <v>13.88</v>
      </c>
      <c r="K90" s="75">
        <v>13.82</v>
      </c>
      <c r="L90" s="75">
        <v>-1.681</v>
      </c>
      <c r="M90" s="75">
        <v>-1.6180000000000001</v>
      </c>
      <c r="N90" s="105">
        <v>-1.4</v>
      </c>
      <c r="O90" s="104">
        <v>29.78</v>
      </c>
      <c r="P90" s="75">
        <v>29.78</v>
      </c>
      <c r="Q90" s="75">
        <v>29.78</v>
      </c>
      <c r="R90" s="75">
        <v>-1.444</v>
      </c>
      <c r="S90" s="75">
        <v>-1.514</v>
      </c>
      <c r="T90" s="105">
        <v>-1.9870000000000001</v>
      </c>
      <c r="U90" s="104">
        <v>29.64</v>
      </c>
      <c r="V90" s="75">
        <v>29.59</v>
      </c>
      <c r="W90" s="75">
        <v>29.57</v>
      </c>
      <c r="X90" s="75">
        <v>-2.819</v>
      </c>
      <c r="Y90" s="75">
        <v>-2.5680000000000001</v>
      </c>
      <c r="Z90" s="105">
        <v>-3.1789999999999998</v>
      </c>
      <c r="AA90" s="104">
        <v>13.84</v>
      </c>
      <c r="AB90" s="75">
        <v>13.79</v>
      </c>
      <c r="AC90" s="75">
        <v>13.71</v>
      </c>
      <c r="AD90" s="75">
        <v>-1.0009999999999999</v>
      </c>
      <c r="AE90" s="75">
        <v>-0.752</v>
      </c>
      <c r="AF90" s="105">
        <v>-0.71899999999999997</v>
      </c>
    </row>
    <row r="91" spans="2:32" x14ac:dyDescent="0.3">
      <c r="B91" s="111">
        <v>14.333333333333316</v>
      </c>
      <c r="C91" s="104">
        <v>13.9</v>
      </c>
      <c r="D91" s="75">
        <v>13.89</v>
      </c>
      <c r="E91" s="75">
        <v>13.83</v>
      </c>
      <c r="F91" s="75">
        <v>-2.11</v>
      </c>
      <c r="G91" s="75">
        <v>-2.302</v>
      </c>
      <c r="H91" s="105">
        <v>-2.37</v>
      </c>
      <c r="I91" s="104">
        <v>13.84</v>
      </c>
      <c r="J91" s="75">
        <v>13.81</v>
      </c>
      <c r="K91" s="75">
        <v>13.75</v>
      </c>
      <c r="L91" s="75">
        <v>-1.6559999999999999</v>
      </c>
      <c r="M91" s="75">
        <v>-1.5009999999999999</v>
      </c>
      <c r="N91" s="105">
        <v>-1.5509999999999999</v>
      </c>
      <c r="O91" s="104">
        <v>29.71</v>
      </c>
      <c r="P91" s="75">
        <v>29.71</v>
      </c>
      <c r="Q91" s="75">
        <v>29.71</v>
      </c>
      <c r="R91" s="75">
        <v>-1.5</v>
      </c>
      <c r="S91" s="75">
        <v>-1.754</v>
      </c>
      <c r="T91" s="105">
        <v>-2.048</v>
      </c>
      <c r="U91" s="104">
        <v>29.57</v>
      </c>
      <c r="V91" s="75">
        <v>29.52</v>
      </c>
      <c r="W91" s="75">
        <v>29.5</v>
      </c>
      <c r="X91" s="75">
        <v>-2.7010000000000001</v>
      </c>
      <c r="Y91" s="75">
        <v>-2.6789999999999998</v>
      </c>
      <c r="Z91" s="105">
        <v>-2.952</v>
      </c>
      <c r="AA91" s="104">
        <v>13.77</v>
      </c>
      <c r="AB91" s="75">
        <v>13.71</v>
      </c>
      <c r="AC91" s="75">
        <v>13.64</v>
      </c>
      <c r="AD91" s="75">
        <v>-1.0269999999999999</v>
      </c>
      <c r="AE91" s="75">
        <v>-0.89900000000000002</v>
      </c>
      <c r="AF91" s="105">
        <v>-0.78500000000000003</v>
      </c>
    </row>
    <row r="92" spans="2:32" x14ac:dyDescent="0.3">
      <c r="B92" s="111">
        <v>14.499999999999982</v>
      </c>
      <c r="C92" s="104">
        <v>13.83</v>
      </c>
      <c r="D92" s="75">
        <v>13.81</v>
      </c>
      <c r="E92" s="75">
        <v>13.76</v>
      </c>
      <c r="F92" s="75">
        <v>-1.9530000000000001</v>
      </c>
      <c r="G92" s="75">
        <v>-2.238</v>
      </c>
      <c r="H92" s="105">
        <v>-2.2719999999999998</v>
      </c>
      <c r="I92" s="104">
        <v>13.78</v>
      </c>
      <c r="J92" s="75">
        <v>13.73</v>
      </c>
      <c r="K92" s="75">
        <v>13.67</v>
      </c>
      <c r="L92" s="75">
        <v>-1.631</v>
      </c>
      <c r="M92" s="75">
        <v>-1.635</v>
      </c>
      <c r="N92" s="105">
        <v>-1.5880000000000001</v>
      </c>
      <c r="O92" s="104">
        <v>29.65</v>
      </c>
      <c r="P92" s="75">
        <v>29.64</v>
      </c>
      <c r="Q92" s="75">
        <v>29.64</v>
      </c>
      <c r="R92" s="75">
        <v>-1.43</v>
      </c>
      <c r="S92" s="75">
        <v>-1.633</v>
      </c>
      <c r="T92" s="105">
        <v>-2.1019999999999999</v>
      </c>
      <c r="U92" s="104">
        <v>29.51</v>
      </c>
      <c r="V92" s="75">
        <v>29.46</v>
      </c>
      <c r="W92" s="75">
        <v>29.43</v>
      </c>
      <c r="X92" s="75">
        <v>-3.1789999999999998</v>
      </c>
      <c r="Y92" s="75">
        <v>-2.57</v>
      </c>
      <c r="Z92" s="105">
        <v>-3.181</v>
      </c>
      <c r="AA92" s="104">
        <v>13.7</v>
      </c>
      <c r="AB92" s="75">
        <v>13.64</v>
      </c>
      <c r="AC92" s="75">
        <v>13.57</v>
      </c>
      <c r="AD92" s="75">
        <v>-0.93</v>
      </c>
      <c r="AE92" s="75">
        <v>-0.80400000000000005</v>
      </c>
      <c r="AF92" s="105">
        <v>-0.68200000000000005</v>
      </c>
    </row>
    <row r="93" spans="2:32" x14ac:dyDescent="0.3">
      <c r="B93" s="111">
        <v>14.666666666666648</v>
      </c>
      <c r="C93" s="104">
        <v>13.77</v>
      </c>
      <c r="D93" s="75">
        <v>13.74</v>
      </c>
      <c r="E93" s="75">
        <v>13.69</v>
      </c>
      <c r="F93" s="75">
        <v>-1.8819999999999999</v>
      </c>
      <c r="G93" s="75">
        <v>-2.2930000000000001</v>
      </c>
      <c r="H93" s="105">
        <v>-2.3010000000000002</v>
      </c>
      <c r="I93" s="104">
        <v>13.71</v>
      </c>
      <c r="J93" s="75">
        <v>13.66</v>
      </c>
      <c r="K93" s="75">
        <v>13.6</v>
      </c>
      <c r="L93" s="75">
        <v>-1.532</v>
      </c>
      <c r="M93" s="75">
        <v>-1.5660000000000001</v>
      </c>
      <c r="N93" s="105">
        <v>-1.5940000000000001</v>
      </c>
      <c r="O93" s="104">
        <v>29.57</v>
      </c>
      <c r="P93" s="75">
        <v>29.57</v>
      </c>
      <c r="Q93" s="75">
        <v>29.56</v>
      </c>
      <c r="R93" s="75">
        <v>-1.621</v>
      </c>
      <c r="S93" s="75">
        <v>-1.71</v>
      </c>
      <c r="T93" s="105">
        <v>-1.97</v>
      </c>
      <c r="U93" s="104">
        <v>29.44</v>
      </c>
      <c r="V93" s="75">
        <v>29.39</v>
      </c>
      <c r="W93" s="75">
        <v>29.36</v>
      </c>
      <c r="X93" s="75">
        <v>-3.0129999999999999</v>
      </c>
      <c r="Y93" s="75">
        <v>-2.681</v>
      </c>
      <c r="Z93" s="105">
        <v>-3.7530000000000001</v>
      </c>
      <c r="AA93" s="104">
        <v>13.63</v>
      </c>
      <c r="AB93" s="75">
        <v>13.56</v>
      </c>
      <c r="AC93" s="75">
        <v>13.5</v>
      </c>
      <c r="AD93" s="75">
        <v>-0.80300000000000005</v>
      </c>
      <c r="AE93" s="75">
        <v>-0.85099999999999998</v>
      </c>
      <c r="AF93" s="105">
        <v>-0.65900000000000003</v>
      </c>
    </row>
    <row r="94" spans="2:32" x14ac:dyDescent="0.3">
      <c r="B94" s="111">
        <v>14.833333333333314</v>
      </c>
      <c r="C94" s="104">
        <v>13.69</v>
      </c>
      <c r="D94" s="75">
        <v>13.67</v>
      </c>
      <c r="E94" s="75">
        <v>13.61</v>
      </c>
      <c r="F94" s="75">
        <v>-2.0870000000000002</v>
      </c>
      <c r="G94" s="75">
        <v>-2.2799999999999998</v>
      </c>
      <c r="H94" s="105">
        <v>-2.2879999999999998</v>
      </c>
      <c r="I94" s="104">
        <v>13.63</v>
      </c>
      <c r="J94" s="75">
        <v>13.59</v>
      </c>
      <c r="K94" s="75">
        <v>13.53</v>
      </c>
      <c r="L94" s="75">
        <v>-1.4039999999999999</v>
      </c>
      <c r="M94" s="75">
        <v>-1.629</v>
      </c>
      <c r="N94" s="105">
        <v>-1.3979999999999999</v>
      </c>
      <c r="O94" s="104">
        <v>29.5</v>
      </c>
      <c r="P94" s="75">
        <v>29.5</v>
      </c>
      <c r="Q94" s="75">
        <v>29.49</v>
      </c>
      <c r="R94" s="75">
        <v>-1.3560000000000001</v>
      </c>
      <c r="S94" s="75">
        <v>-1.675</v>
      </c>
      <c r="T94" s="105">
        <v>-1.8440000000000001</v>
      </c>
      <c r="U94" s="104">
        <v>29.37</v>
      </c>
      <c r="V94" s="75">
        <v>29.32</v>
      </c>
      <c r="W94" s="75">
        <v>29.29</v>
      </c>
      <c r="X94" s="75">
        <v>-2.6739999999999999</v>
      </c>
      <c r="Y94" s="75">
        <v>-2.573</v>
      </c>
      <c r="Z94" s="105">
        <v>-3.1840000000000002</v>
      </c>
      <c r="AA94" s="104">
        <v>13.55</v>
      </c>
      <c r="AB94" s="75">
        <v>13.49</v>
      </c>
      <c r="AC94" s="75">
        <v>13.42</v>
      </c>
      <c r="AD94" s="75">
        <v>-1.0629999999999999</v>
      </c>
      <c r="AE94" s="75">
        <v>-0.76900000000000002</v>
      </c>
      <c r="AF94" s="105">
        <v>-0.67900000000000005</v>
      </c>
    </row>
    <row r="95" spans="2:32" x14ac:dyDescent="0.3">
      <c r="B95" s="111">
        <v>14.99999999999998</v>
      </c>
      <c r="C95" s="104">
        <v>13.61</v>
      </c>
      <c r="D95" s="75">
        <v>13.59</v>
      </c>
      <c r="E95" s="75">
        <v>13.53</v>
      </c>
      <c r="F95" s="75">
        <v>-2.1819999999999999</v>
      </c>
      <c r="G95" s="75">
        <v>-2.3439999999999999</v>
      </c>
      <c r="H95" s="105">
        <v>-2.7989999999999999</v>
      </c>
      <c r="I95" s="104">
        <v>13.55</v>
      </c>
      <c r="J95" s="75">
        <v>13.52</v>
      </c>
      <c r="K95" s="75">
        <v>13.45</v>
      </c>
      <c r="L95" s="75">
        <v>-1.6950000000000001</v>
      </c>
      <c r="M95" s="75">
        <v>-1.528</v>
      </c>
      <c r="N95" s="105">
        <v>-1.5069999999999999</v>
      </c>
      <c r="O95" s="104">
        <v>29.43</v>
      </c>
      <c r="P95" s="75">
        <v>29.43</v>
      </c>
      <c r="Q95" s="75">
        <v>29.42</v>
      </c>
      <c r="R95" s="75">
        <v>-1.319</v>
      </c>
      <c r="S95" s="75">
        <v>-1.7669999999999999</v>
      </c>
      <c r="T95" s="105">
        <v>-1.8540000000000001</v>
      </c>
      <c r="U95" s="104">
        <v>29.3</v>
      </c>
      <c r="V95" s="75">
        <v>29.26</v>
      </c>
      <c r="W95" s="75">
        <v>29.22</v>
      </c>
      <c r="X95" s="75">
        <v>-2.7829999999999999</v>
      </c>
      <c r="Y95" s="75">
        <v>-2.9740000000000002</v>
      </c>
      <c r="Z95" s="105">
        <v>-3.157</v>
      </c>
      <c r="AA95" s="104">
        <v>13.47</v>
      </c>
      <c r="AB95" s="75">
        <v>13.42</v>
      </c>
      <c r="AC95" s="75">
        <v>13.34</v>
      </c>
      <c r="AD95" s="75">
        <v>-1.0980000000000001</v>
      </c>
      <c r="AE95" s="75">
        <v>-0.82499999999999996</v>
      </c>
      <c r="AF95" s="105">
        <v>-1.1539999999999999</v>
      </c>
    </row>
    <row r="96" spans="2:32" x14ac:dyDescent="0.3">
      <c r="B96" s="111">
        <v>15.166666666666647</v>
      </c>
      <c r="C96" s="104">
        <v>13.54</v>
      </c>
      <c r="D96" s="75">
        <v>13.5</v>
      </c>
      <c r="E96" s="75">
        <v>13.45</v>
      </c>
      <c r="F96" s="75">
        <v>-2.0779999999999998</v>
      </c>
      <c r="G96" s="75">
        <v>-2.7669999999999999</v>
      </c>
      <c r="H96" s="105">
        <v>-2.6989999999999998</v>
      </c>
      <c r="I96" s="104">
        <v>13.48</v>
      </c>
      <c r="J96" s="75">
        <v>13.42</v>
      </c>
      <c r="K96" s="75">
        <v>13.37</v>
      </c>
      <c r="L96" s="75">
        <v>-1.784</v>
      </c>
      <c r="M96" s="75">
        <v>-1.6020000000000001</v>
      </c>
      <c r="N96" s="105">
        <v>-2.0539999999999998</v>
      </c>
      <c r="O96" s="104">
        <v>29.35</v>
      </c>
      <c r="P96" s="75">
        <v>29.35</v>
      </c>
      <c r="Q96" s="75">
        <v>29.34</v>
      </c>
      <c r="R96" s="75">
        <v>-1.6140000000000001</v>
      </c>
      <c r="S96" s="75">
        <v>-1.726</v>
      </c>
      <c r="T96" s="105">
        <v>-1.8520000000000001</v>
      </c>
      <c r="U96" s="104">
        <v>29.22</v>
      </c>
      <c r="V96" s="75">
        <v>29.19</v>
      </c>
      <c r="W96" s="75">
        <v>29.15</v>
      </c>
      <c r="X96" s="75">
        <v>-2.8860000000000001</v>
      </c>
      <c r="Y96" s="75">
        <v>-2.5750000000000002</v>
      </c>
      <c r="Z96" s="105">
        <v>-3.1859999999999999</v>
      </c>
      <c r="AA96" s="104">
        <v>13.4</v>
      </c>
      <c r="AB96" s="75">
        <v>13.32</v>
      </c>
      <c r="AC96" s="75">
        <v>13.26</v>
      </c>
      <c r="AD96" s="75">
        <v>-1.0069999999999999</v>
      </c>
      <c r="AE96" s="75">
        <v>-1.252</v>
      </c>
      <c r="AF96" s="105">
        <v>-1.014</v>
      </c>
    </row>
    <row r="97" spans="2:32" x14ac:dyDescent="0.3">
      <c r="B97" s="111">
        <v>15.333333333333313</v>
      </c>
      <c r="C97" s="104">
        <v>13.45</v>
      </c>
      <c r="D97" s="75">
        <v>13.41</v>
      </c>
      <c r="E97" s="75">
        <v>13.33</v>
      </c>
      <c r="F97" s="75">
        <v>-2.4409999999999998</v>
      </c>
      <c r="G97" s="75">
        <v>-2.5950000000000002</v>
      </c>
      <c r="H97" s="105">
        <v>-2.492</v>
      </c>
      <c r="I97" s="104">
        <v>13.4</v>
      </c>
      <c r="J97" s="75">
        <v>13.34</v>
      </c>
      <c r="K97" s="75">
        <v>13.25</v>
      </c>
      <c r="L97" s="75">
        <v>-1.6659999999999999</v>
      </c>
      <c r="M97" s="75">
        <v>-2.0870000000000002</v>
      </c>
      <c r="N97" s="105">
        <v>-1.9019999999999999</v>
      </c>
      <c r="O97" s="104">
        <v>29.28</v>
      </c>
      <c r="P97" s="75">
        <v>29.28</v>
      </c>
      <c r="Q97" s="75">
        <v>29.27</v>
      </c>
      <c r="R97" s="75">
        <v>-1.427</v>
      </c>
      <c r="S97" s="75">
        <v>-1.6619999999999999</v>
      </c>
      <c r="T97" s="105">
        <v>-1.9379999999999999</v>
      </c>
      <c r="U97" s="104">
        <v>29.15</v>
      </c>
      <c r="V97" s="75">
        <v>29.11</v>
      </c>
      <c r="W97" s="75">
        <v>29.08</v>
      </c>
      <c r="X97" s="75">
        <v>-2.7429999999999999</v>
      </c>
      <c r="Y97" s="75">
        <v>-2.5139999999999998</v>
      </c>
      <c r="Z97" s="105">
        <v>-2.9820000000000002</v>
      </c>
      <c r="AA97" s="104">
        <v>13.31</v>
      </c>
      <c r="AB97" s="75">
        <v>13.23</v>
      </c>
      <c r="AC97" s="75">
        <v>13.14</v>
      </c>
      <c r="AD97" s="75">
        <v>-1.3580000000000001</v>
      </c>
      <c r="AE97" s="75">
        <v>-1.0980000000000001</v>
      </c>
      <c r="AF97" s="105">
        <v>-0.83099999999999996</v>
      </c>
    </row>
    <row r="98" spans="2:32" x14ac:dyDescent="0.3">
      <c r="B98" s="111">
        <v>15.499999999999979</v>
      </c>
      <c r="C98" s="104">
        <v>13.37</v>
      </c>
      <c r="D98" s="75">
        <v>13.33</v>
      </c>
      <c r="E98" s="75">
        <v>13.22</v>
      </c>
      <c r="F98" s="75">
        <v>-2.294</v>
      </c>
      <c r="G98" s="75">
        <v>-2.6219999999999999</v>
      </c>
      <c r="H98" s="105">
        <v>-2.4700000000000002</v>
      </c>
      <c r="I98" s="104">
        <v>13.31</v>
      </c>
      <c r="J98" s="75">
        <v>13.25</v>
      </c>
      <c r="K98" s="75">
        <v>13.13</v>
      </c>
      <c r="L98" s="75">
        <v>-2.0419999999999998</v>
      </c>
      <c r="M98" s="75">
        <v>-1.9039999999999999</v>
      </c>
      <c r="N98" s="105">
        <v>-1.6870000000000001</v>
      </c>
      <c r="O98" s="104">
        <v>29.2</v>
      </c>
      <c r="P98" s="75">
        <v>29.2</v>
      </c>
      <c r="Q98" s="75">
        <v>29.19</v>
      </c>
      <c r="R98" s="75">
        <v>-1.552</v>
      </c>
      <c r="S98" s="75">
        <v>-1.645</v>
      </c>
      <c r="T98" s="105">
        <v>-2.0350000000000001</v>
      </c>
      <c r="U98" s="104">
        <v>29.08</v>
      </c>
      <c r="V98" s="75">
        <v>29.04</v>
      </c>
      <c r="W98" s="75">
        <v>29</v>
      </c>
      <c r="X98" s="75">
        <v>-2.8860000000000001</v>
      </c>
      <c r="Y98" s="75">
        <v>-2.577</v>
      </c>
      <c r="Z98" s="105">
        <v>-3.1880000000000002</v>
      </c>
      <c r="AA98" s="104">
        <v>13.22</v>
      </c>
      <c r="AB98" s="75">
        <v>13.15</v>
      </c>
      <c r="AC98" s="75">
        <v>13.02</v>
      </c>
      <c r="AD98" s="75">
        <v>-1.22</v>
      </c>
      <c r="AE98" s="75">
        <v>-1.0760000000000001</v>
      </c>
      <c r="AF98" s="105">
        <v>-0.82499999999999996</v>
      </c>
    </row>
    <row r="99" spans="2:32" x14ac:dyDescent="0.3">
      <c r="B99" s="111">
        <v>15.666666666666645</v>
      </c>
      <c r="C99" s="104">
        <v>13.29</v>
      </c>
      <c r="D99" s="75">
        <v>13.26</v>
      </c>
      <c r="E99" s="75">
        <v>13.15</v>
      </c>
      <c r="F99" s="75">
        <v>-2.3010000000000002</v>
      </c>
      <c r="G99" s="75">
        <v>-2.4009999999999998</v>
      </c>
      <c r="H99" s="105">
        <v>-2.3849999999999998</v>
      </c>
      <c r="I99" s="104">
        <v>13.23</v>
      </c>
      <c r="J99" s="75">
        <v>13.18</v>
      </c>
      <c r="K99" s="75">
        <v>13.06</v>
      </c>
      <c r="L99" s="75">
        <v>-1.885</v>
      </c>
      <c r="M99" s="75">
        <v>-1.94</v>
      </c>
      <c r="N99" s="105">
        <v>-1.679</v>
      </c>
      <c r="O99" s="104">
        <v>29.11</v>
      </c>
      <c r="P99" s="75">
        <v>29.12</v>
      </c>
      <c r="Q99" s="75">
        <v>29.09</v>
      </c>
      <c r="R99" s="75">
        <v>-1.623</v>
      </c>
      <c r="S99" s="75">
        <v>-1.8240000000000001</v>
      </c>
      <c r="T99" s="105">
        <v>-2.0409999999999999</v>
      </c>
      <c r="U99" s="104">
        <v>28.99</v>
      </c>
      <c r="V99" s="75">
        <v>28.96</v>
      </c>
      <c r="W99" s="75">
        <v>28.91</v>
      </c>
      <c r="X99" s="75">
        <v>-3.1859999999999999</v>
      </c>
      <c r="Y99" s="75">
        <v>-2.3319999999999999</v>
      </c>
      <c r="Z99" s="105">
        <v>-3.3530000000000002</v>
      </c>
      <c r="AA99" s="104">
        <v>13.15</v>
      </c>
      <c r="AB99" s="75">
        <v>13.07</v>
      </c>
      <c r="AC99" s="75">
        <v>12.95</v>
      </c>
      <c r="AD99" s="75">
        <v>-1.198</v>
      </c>
      <c r="AE99" s="75">
        <v>-0.82499999999999996</v>
      </c>
      <c r="AF99" s="105">
        <v>-0.72699999999999998</v>
      </c>
    </row>
    <row r="100" spans="2:32" x14ac:dyDescent="0.3">
      <c r="B100" s="111">
        <v>15.833333333333311</v>
      </c>
      <c r="C100" s="104">
        <v>13.21</v>
      </c>
      <c r="D100" s="75">
        <v>13.19</v>
      </c>
      <c r="E100" s="75">
        <v>13.07</v>
      </c>
      <c r="F100" s="75">
        <v>-2.2429999999999999</v>
      </c>
      <c r="G100" s="75">
        <v>-2.2290000000000001</v>
      </c>
      <c r="H100" s="105">
        <v>-2.359</v>
      </c>
      <c r="I100" s="104">
        <v>13.15</v>
      </c>
      <c r="J100" s="75">
        <v>13.11</v>
      </c>
      <c r="K100" s="75">
        <v>12.99</v>
      </c>
      <c r="L100" s="75">
        <v>-1.867</v>
      </c>
      <c r="M100" s="75">
        <v>-1.712</v>
      </c>
      <c r="N100" s="105">
        <v>-1.677</v>
      </c>
      <c r="O100" s="104">
        <v>29.03</v>
      </c>
      <c r="P100" s="75">
        <v>29.05</v>
      </c>
      <c r="Q100" s="75">
        <v>29.01</v>
      </c>
      <c r="R100" s="75">
        <v>-1.603</v>
      </c>
      <c r="S100" s="75">
        <v>-1.6040000000000001</v>
      </c>
      <c r="T100" s="105">
        <v>-1.9930000000000001</v>
      </c>
      <c r="U100" s="104">
        <v>28.92</v>
      </c>
      <c r="V100" s="75">
        <v>28.89</v>
      </c>
      <c r="W100" s="75">
        <v>28.84</v>
      </c>
      <c r="X100" s="75">
        <v>-2.8420000000000001</v>
      </c>
      <c r="Y100" s="75">
        <v>-2.58</v>
      </c>
      <c r="Z100" s="105">
        <v>-3.1909999999999998</v>
      </c>
      <c r="AA100" s="104">
        <v>13.07</v>
      </c>
      <c r="AB100" s="75">
        <v>13</v>
      </c>
      <c r="AC100" s="75">
        <v>12.88</v>
      </c>
      <c r="AD100" s="75">
        <v>-1.167</v>
      </c>
      <c r="AE100" s="75">
        <v>-0.69299999999999995</v>
      </c>
      <c r="AF100" s="105">
        <v>-0.66800000000000004</v>
      </c>
    </row>
    <row r="101" spans="2:32" x14ac:dyDescent="0.3">
      <c r="B101" s="111">
        <v>15.999999999999977</v>
      </c>
      <c r="C101" s="104">
        <v>13.14</v>
      </c>
      <c r="D101" s="75">
        <v>13.11</v>
      </c>
      <c r="E101" s="75">
        <v>13</v>
      </c>
      <c r="F101" s="75">
        <v>-2.0299999999999998</v>
      </c>
      <c r="G101" s="75">
        <v>-2.3740000000000001</v>
      </c>
      <c r="H101" s="105">
        <v>-2.355</v>
      </c>
      <c r="I101" s="104">
        <v>13.08</v>
      </c>
      <c r="J101" s="75">
        <v>13.03</v>
      </c>
      <c r="K101" s="75">
        <v>12.91</v>
      </c>
      <c r="L101" s="75">
        <v>-1.8260000000000001</v>
      </c>
      <c r="M101" s="75">
        <v>-1.45</v>
      </c>
      <c r="N101" s="105">
        <v>-1.5660000000000001</v>
      </c>
      <c r="O101" s="104">
        <v>28.95</v>
      </c>
      <c r="P101" s="75">
        <v>28.97</v>
      </c>
      <c r="Q101" s="75">
        <v>28.93</v>
      </c>
      <c r="R101" s="75">
        <v>-1.55</v>
      </c>
      <c r="S101" s="75">
        <v>-1.702</v>
      </c>
      <c r="T101" s="105">
        <v>-2.06</v>
      </c>
      <c r="U101" s="104">
        <v>28.84</v>
      </c>
      <c r="V101" s="75">
        <v>28.81</v>
      </c>
      <c r="W101" s="75">
        <v>28.76</v>
      </c>
      <c r="X101" s="75">
        <v>-3.1480000000000001</v>
      </c>
      <c r="Y101" s="75">
        <v>-2.8</v>
      </c>
      <c r="Z101" s="105">
        <v>-2.7829999999999999</v>
      </c>
      <c r="AA101" s="104">
        <v>12.99</v>
      </c>
      <c r="AB101" s="75">
        <v>12.92</v>
      </c>
      <c r="AC101" s="75">
        <v>12.81</v>
      </c>
      <c r="AD101" s="75">
        <v>-0.94499999999999995</v>
      </c>
      <c r="AE101" s="75">
        <v>-0.83799999999999997</v>
      </c>
      <c r="AF101" s="105">
        <v>-0.59299999999999997</v>
      </c>
    </row>
    <row r="102" spans="2:32" x14ac:dyDescent="0.3">
      <c r="B102" s="111">
        <v>16.166666666666643</v>
      </c>
      <c r="C102" s="104">
        <v>13.06</v>
      </c>
      <c r="D102" s="75">
        <v>13.04</v>
      </c>
      <c r="E102" s="75">
        <v>12.93</v>
      </c>
      <c r="F102" s="75">
        <v>-2.1019999999999999</v>
      </c>
      <c r="G102" s="75">
        <v>-2.3849999999999998</v>
      </c>
      <c r="H102" s="105">
        <v>-2.5190000000000001</v>
      </c>
      <c r="I102" s="104">
        <v>13</v>
      </c>
      <c r="J102" s="75">
        <v>12.96</v>
      </c>
      <c r="K102" s="75">
        <v>12.84</v>
      </c>
      <c r="L102" s="75">
        <v>-1.5780000000000001</v>
      </c>
      <c r="M102" s="75">
        <v>-1.7050000000000001</v>
      </c>
      <c r="N102" s="105">
        <v>-1.5209999999999999</v>
      </c>
      <c r="O102" s="104">
        <v>28.87</v>
      </c>
      <c r="P102" s="75">
        <v>28.89</v>
      </c>
      <c r="Q102" s="75">
        <v>28.87</v>
      </c>
      <c r="R102" s="75">
        <v>-1.385</v>
      </c>
      <c r="S102" s="75">
        <v>-1.64</v>
      </c>
      <c r="T102" s="105">
        <v>-1.8340000000000001</v>
      </c>
      <c r="U102" s="104">
        <v>28.77</v>
      </c>
      <c r="V102" s="75">
        <v>28.74</v>
      </c>
      <c r="W102" s="75">
        <v>28.69</v>
      </c>
      <c r="X102" s="75">
        <v>-2.7770000000000001</v>
      </c>
      <c r="Y102" s="75">
        <v>-2.5819999999999999</v>
      </c>
      <c r="Z102" s="105">
        <v>-3.1930000000000001</v>
      </c>
      <c r="AA102" s="104">
        <v>12.92</v>
      </c>
      <c r="AB102" s="75">
        <v>12.85</v>
      </c>
      <c r="AC102" s="75">
        <v>12.73</v>
      </c>
      <c r="AD102" s="75">
        <v>-0.95599999999999996</v>
      </c>
      <c r="AE102" s="75">
        <v>-0.72399999999999998</v>
      </c>
      <c r="AF102" s="105">
        <v>-0.82899999999999996</v>
      </c>
    </row>
    <row r="103" spans="2:32" x14ac:dyDescent="0.3">
      <c r="B103" s="111">
        <v>16.333333333333311</v>
      </c>
      <c r="C103" s="104">
        <v>12.99</v>
      </c>
      <c r="D103" s="75">
        <v>12.97</v>
      </c>
      <c r="E103" s="75">
        <v>12.86</v>
      </c>
      <c r="F103" s="75">
        <v>-2.2250000000000001</v>
      </c>
      <c r="G103" s="75">
        <v>-2.3730000000000002</v>
      </c>
      <c r="H103" s="105">
        <v>-2.4609999999999999</v>
      </c>
      <c r="I103" s="104">
        <v>12.93</v>
      </c>
      <c r="J103" s="75">
        <v>12.89</v>
      </c>
      <c r="K103" s="75">
        <v>12.77</v>
      </c>
      <c r="L103" s="75">
        <v>-1.677</v>
      </c>
      <c r="M103" s="75">
        <v>-1.532</v>
      </c>
      <c r="N103" s="105">
        <v>-1.754</v>
      </c>
      <c r="O103" s="104">
        <v>28.82</v>
      </c>
      <c r="P103" s="75">
        <v>28.82</v>
      </c>
      <c r="Q103" s="75">
        <v>28.8</v>
      </c>
      <c r="R103" s="75">
        <v>-1.4139999999999999</v>
      </c>
      <c r="S103" s="75">
        <v>-1.7729999999999999</v>
      </c>
      <c r="T103" s="105">
        <v>-1.931</v>
      </c>
      <c r="U103" s="104">
        <v>28.71</v>
      </c>
      <c r="V103" s="75">
        <v>28.66</v>
      </c>
      <c r="W103" s="75">
        <v>28.63</v>
      </c>
      <c r="X103" s="75">
        <v>-2.7250000000000001</v>
      </c>
      <c r="Y103" s="75">
        <v>-2.6040000000000001</v>
      </c>
      <c r="Z103" s="105">
        <v>-3</v>
      </c>
      <c r="AA103" s="104">
        <v>12.84</v>
      </c>
      <c r="AB103" s="75">
        <v>12.78</v>
      </c>
      <c r="AC103" s="75">
        <v>12.66</v>
      </c>
      <c r="AD103" s="75">
        <v>-1.07</v>
      </c>
      <c r="AE103" s="75">
        <v>-0.75700000000000001</v>
      </c>
      <c r="AF103" s="105">
        <v>-0.72399999999999998</v>
      </c>
    </row>
    <row r="104" spans="2:32" x14ac:dyDescent="0.3">
      <c r="B104" s="111">
        <v>16.499999999999979</v>
      </c>
      <c r="C104" s="104">
        <v>12.91</v>
      </c>
      <c r="D104" s="75">
        <v>12.9</v>
      </c>
      <c r="E104" s="75">
        <v>12.79</v>
      </c>
      <c r="F104" s="75">
        <v>-2.1589999999999998</v>
      </c>
      <c r="G104" s="75">
        <v>-2.3180000000000001</v>
      </c>
      <c r="H104" s="105">
        <v>-2.3559999999999999</v>
      </c>
      <c r="I104" s="104">
        <v>12.85</v>
      </c>
      <c r="J104" s="75">
        <v>12.82</v>
      </c>
      <c r="K104" s="75">
        <v>12.7</v>
      </c>
      <c r="L104" s="75">
        <v>-1.702</v>
      </c>
      <c r="M104" s="75">
        <v>-1.611</v>
      </c>
      <c r="N104" s="105">
        <v>-1.6140000000000001</v>
      </c>
      <c r="O104" s="104">
        <v>28.76</v>
      </c>
      <c r="P104" s="75">
        <v>28.74</v>
      </c>
      <c r="Q104" s="75">
        <v>28.73</v>
      </c>
      <c r="R104" s="75">
        <v>-1.3560000000000001</v>
      </c>
      <c r="S104" s="75">
        <v>-1.758</v>
      </c>
      <c r="T104" s="105">
        <v>-1.95</v>
      </c>
      <c r="U104" s="104">
        <v>28.66</v>
      </c>
      <c r="V104" s="75">
        <v>28.59</v>
      </c>
      <c r="W104" s="75">
        <v>28.56</v>
      </c>
      <c r="X104" s="75">
        <v>-2.875</v>
      </c>
      <c r="Y104" s="75">
        <v>-2.5840000000000001</v>
      </c>
      <c r="Z104" s="105">
        <v>-3.1949999999999998</v>
      </c>
      <c r="AA104" s="104">
        <v>12.77</v>
      </c>
      <c r="AB104" s="75">
        <v>12.71</v>
      </c>
      <c r="AC104" s="75">
        <v>12.59</v>
      </c>
      <c r="AD104" s="75">
        <v>-0.98099999999999998</v>
      </c>
      <c r="AE104" s="75">
        <v>-0.73599999999999999</v>
      </c>
      <c r="AF104" s="105">
        <v>-0.61699999999999999</v>
      </c>
    </row>
    <row r="105" spans="2:32" x14ac:dyDescent="0.3">
      <c r="B105" s="111">
        <v>16.666666666666647</v>
      </c>
      <c r="C105" s="104">
        <v>12.84</v>
      </c>
      <c r="D105" s="75">
        <v>12.83</v>
      </c>
      <c r="E105" s="75">
        <v>12.71</v>
      </c>
      <c r="F105" s="75">
        <v>-2.0379999999999998</v>
      </c>
      <c r="G105" s="75">
        <v>-2.2309999999999999</v>
      </c>
      <c r="H105" s="105">
        <v>-2.3839999999999999</v>
      </c>
      <c r="I105" s="104">
        <v>12.78</v>
      </c>
      <c r="J105" s="75">
        <v>12.74</v>
      </c>
      <c r="K105" s="75">
        <v>12.62</v>
      </c>
      <c r="L105" s="75">
        <v>-1.6830000000000001</v>
      </c>
      <c r="M105" s="75">
        <v>-1.5780000000000001</v>
      </c>
      <c r="N105" s="105">
        <v>-1.4770000000000001</v>
      </c>
      <c r="O105" s="104">
        <v>28.68</v>
      </c>
      <c r="P105" s="75">
        <v>28.66</v>
      </c>
      <c r="Q105" s="75">
        <v>28.66</v>
      </c>
      <c r="R105" s="75">
        <v>-1.391</v>
      </c>
      <c r="S105" s="75">
        <v>-1.5640000000000001</v>
      </c>
      <c r="T105" s="105">
        <v>-1.839</v>
      </c>
      <c r="U105" s="104">
        <v>28.58</v>
      </c>
      <c r="V105" s="75">
        <v>28.51</v>
      </c>
      <c r="W105" s="75">
        <v>28.49</v>
      </c>
      <c r="X105" s="75">
        <v>-2.73</v>
      </c>
      <c r="Y105" s="75">
        <v>-2.5139999999999998</v>
      </c>
      <c r="Z105" s="105">
        <v>-3.1930000000000001</v>
      </c>
      <c r="AA105" s="104">
        <v>12.7</v>
      </c>
      <c r="AB105" s="75">
        <v>12.64</v>
      </c>
      <c r="AC105" s="75">
        <v>12.51</v>
      </c>
      <c r="AD105" s="75">
        <v>-0.83899999999999997</v>
      </c>
      <c r="AE105" s="75">
        <v>-0.60099999999999998</v>
      </c>
      <c r="AF105" s="105">
        <v>-0.68600000000000005</v>
      </c>
    </row>
    <row r="106" spans="2:32" x14ac:dyDescent="0.3">
      <c r="B106" s="111">
        <v>16.833333333333314</v>
      </c>
      <c r="C106" s="104">
        <v>12.77</v>
      </c>
      <c r="D106" s="75">
        <v>12.76</v>
      </c>
      <c r="E106" s="75">
        <v>12.64</v>
      </c>
      <c r="F106" s="75">
        <v>-2.0129999999999999</v>
      </c>
      <c r="G106" s="75">
        <v>-2.4489999999999998</v>
      </c>
      <c r="H106" s="105">
        <v>-2.3260000000000001</v>
      </c>
      <c r="I106" s="104">
        <v>12.71</v>
      </c>
      <c r="J106" s="75">
        <v>12.67</v>
      </c>
      <c r="K106" s="75">
        <v>12.56</v>
      </c>
      <c r="L106" s="75">
        <v>-1.5229999999999999</v>
      </c>
      <c r="M106" s="75">
        <v>-1.4410000000000001</v>
      </c>
      <c r="N106" s="105">
        <v>-1.538</v>
      </c>
      <c r="O106" s="104">
        <v>28.61</v>
      </c>
      <c r="P106" s="75">
        <v>28.59</v>
      </c>
      <c r="Q106" s="75">
        <v>28.6</v>
      </c>
      <c r="R106" s="75">
        <v>-1.4870000000000001</v>
      </c>
      <c r="S106" s="75">
        <v>-1.7470000000000001</v>
      </c>
      <c r="T106" s="105">
        <v>-2.0030000000000001</v>
      </c>
      <c r="U106" s="104">
        <v>28.51</v>
      </c>
      <c r="V106" s="75">
        <v>28.44</v>
      </c>
      <c r="W106" s="75">
        <v>28.43</v>
      </c>
      <c r="X106" s="75">
        <v>-2.78</v>
      </c>
      <c r="Y106" s="75">
        <v>-2.5870000000000002</v>
      </c>
      <c r="Z106" s="105">
        <v>-3.198</v>
      </c>
      <c r="AA106" s="104">
        <v>12.62</v>
      </c>
      <c r="AB106" s="75">
        <v>12.56</v>
      </c>
      <c r="AC106" s="75">
        <v>12.44</v>
      </c>
      <c r="AD106" s="75">
        <v>-0.82799999999999996</v>
      </c>
      <c r="AE106" s="75">
        <v>-0.82899999999999996</v>
      </c>
      <c r="AF106" s="105">
        <v>-0.53600000000000003</v>
      </c>
    </row>
    <row r="107" spans="2:32" x14ac:dyDescent="0.3">
      <c r="B107" s="111">
        <v>16.999999999999982</v>
      </c>
      <c r="C107" s="104">
        <v>12.7</v>
      </c>
      <c r="D107" s="75">
        <v>12.68</v>
      </c>
      <c r="E107" s="75">
        <v>12.58</v>
      </c>
      <c r="F107" s="75">
        <v>-2.097</v>
      </c>
      <c r="G107" s="75">
        <v>-2.5110000000000001</v>
      </c>
      <c r="H107" s="105">
        <v>-2.488</v>
      </c>
      <c r="I107" s="104">
        <v>12.64</v>
      </c>
      <c r="J107" s="75">
        <v>12.59</v>
      </c>
      <c r="K107" s="75">
        <v>12.49</v>
      </c>
      <c r="L107" s="75">
        <v>-1.504</v>
      </c>
      <c r="M107" s="75">
        <v>-1.6850000000000001</v>
      </c>
      <c r="N107" s="105">
        <v>-1.3779999999999999</v>
      </c>
      <c r="O107" s="104">
        <v>28.53</v>
      </c>
      <c r="P107" s="75">
        <v>28.51</v>
      </c>
      <c r="Q107" s="75">
        <v>28.53</v>
      </c>
      <c r="R107" s="75">
        <v>-1.431</v>
      </c>
      <c r="S107" s="75">
        <v>-1.486</v>
      </c>
      <c r="T107" s="105">
        <v>-1.948</v>
      </c>
      <c r="U107" s="104">
        <v>28.43</v>
      </c>
      <c r="V107" s="75">
        <v>28.36</v>
      </c>
      <c r="W107" s="75">
        <v>28.37</v>
      </c>
      <c r="X107" s="75">
        <v>-2.653</v>
      </c>
      <c r="Y107" s="75">
        <v>-2.4279999999999999</v>
      </c>
      <c r="Z107" s="105">
        <v>-3.24</v>
      </c>
      <c r="AA107" s="104">
        <v>12.55</v>
      </c>
      <c r="AB107" s="75">
        <v>12.49</v>
      </c>
      <c r="AC107" s="75">
        <v>12.37</v>
      </c>
      <c r="AD107" s="75">
        <v>-0.93899999999999995</v>
      </c>
      <c r="AE107" s="75">
        <v>-0.871</v>
      </c>
      <c r="AF107" s="105">
        <v>-0.72599999999999998</v>
      </c>
    </row>
    <row r="108" spans="2:32" x14ac:dyDescent="0.3">
      <c r="B108" s="111">
        <v>17.16666666666665</v>
      </c>
      <c r="C108" s="104">
        <v>12.63</v>
      </c>
      <c r="D108" s="75">
        <v>12.61</v>
      </c>
      <c r="E108" s="75">
        <v>12.51</v>
      </c>
      <c r="F108" s="75">
        <v>-2.1190000000000002</v>
      </c>
      <c r="G108" s="75">
        <v>-2.3290000000000002</v>
      </c>
      <c r="H108" s="105">
        <v>-2.456</v>
      </c>
      <c r="I108" s="104">
        <v>12.57</v>
      </c>
      <c r="J108" s="75">
        <v>12.52</v>
      </c>
      <c r="K108" s="75">
        <v>12.42</v>
      </c>
      <c r="L108" s="75">
        <v>-1.611</v>
      </c>
      <c r="M108" s="75">
        <v>-1.7669999999999999</v>
      </c>
      <c r="N108" s="105">
        <v>-1.6020000000000001</v>
      </c>
      <c r="O108" s="104">
        <v>28.45</v>
      </c>
      <c r="P108" s="75">
        <v>28.43</v>
      </c>
      <c r="Q108" s="75">
        <v>28.46</v>
      </c>
      <c r="R108" s="75">
        <v>-1.5580000000000001</v>
      </c>
      <c r="S108" s="75">
        <v>-1.8129999999999999</v>
      </c>
      <c r="T108" s="105">
        <v>-1.8460000000000001</v>
      </c>
      <c r="U108" s="104">
        <v>28.36</v>
      </c>
      <c r="V108" s="75">
        <v>28.29</v>
      </c>
      <c r="W108" s="75">
        <v>28.3</v>
      </c>
      <c r="X108" s="75">
        <v>-2.6269999999999998</v>
      </c>
      <c r="Y108" s="75">
        <v>-2.589</v>
      </c>
      <c r="Z108" s="105">
        <v>-3.2</v>
      </c>
      <c r="AA108" s="104">
        <v>12.48</v>
      </c>
      <c r="AB108" s="75">
        <v>12.41</v>
      </c>
      <c r="AC108" s="75">
        <v>12.31</v>
      </c>
      <c r="AD108" s="75">
        <v>-0.91200000000000003</v>
      </c>
      <c r="AE108" s="75">
        <v>-0.622</v>
      </c>
      <c r="AF108" s="105">
        <v>-0.72799999999999998</v>
      </c>
    </row>
    <row r="109" spans="2:32" x14ac:dyDescent="0.3">
      <c r="B109" s="111">
        <v>17.333333333333318</v>
      </c>
      <c r="C109" s="104">
        <v>12.57</v>
      </c>
      <c r="D109" s="75">
        <v>12.54</v>
      </c>
      <c r="E109" s="75">
        <v>12.41</v>
      </c>
      <c r="F109" s="75">
        <v>-1.948</v>
      </c>
      <c r="G109" s="75">
        <v>-2.33</v>
      </c>
      <c r="H109" s="105">
        <v>-3.044</v>
      </c>
      <c r="I109" s="104">
        <v>12.5</v>
      </c>
      <c r="J109" s="75">
        <v>12.46</v>
      </c>
      <c r="K109" s="75">
        <v>12.33</v>
      </c>
      <c r="L109" s="75">
        <v>-1.585</v>
      </c>
      <c r="M109" s="75">
        <v>-1.4339999999999999</v>
      </c>
      <c r="N109" s="105">
        <v>-1.577</v>
      </c>
      <c r="O109" s="104">
        <v>28.38</v>
      </c>
      <c r="P109" s="75">
        <v>28.36</v>
      </c>
      <c r="Q109" s="75">
        <v>28.38</v>
      </c>
      <c r="R109" s="75">
        <v>-1.5549999999999999</v>
      </c>
      <c r="S109" s="75">
        <v>-1.8069999999999999</v>
      </c>
      <c r="T109" s="105">
        <v>-1.8420000000000001</v>
      </c>
      <c r="U109" s="104">
        <v>28.28</v>
      </c>
      <c r="V109" s="75">
        <v>28.21</v>
      </c>
      <c r="W109" s="75">
        <v>28.23</v>
      </c>
      <c r="X109" s="75">
        <v>-2.601</v>
      </c>
      <c r="Y109" s="75">
        <v>-2.867</v>
      </c>
      <c r="Z109" s="105">
        <v>-3.4460000000000002</v>
      </c>
      <c r="AA109" s="104">
        <v>12.42</v>
      </c>
      <c r="AB109" s="75">
        <v>12.35</v>
      </c>
      <c r="AC109" s="75">
        <v>12.21</v>
      </c>
      <c r="AD109" s="75">
        <v>-0.76</v>
      </c>
      <c r="AE109" s="75">
        <v>-0.63900000000000001</v>
      </c>
      <c r="AF109" s="105">
        <v>-1.2649999999999999</v>
      </c>
    </row>
    <row r="110" spans="2:32" x14ac:dyDescent="0.3">
      <c r="B110" s="111">
        <v>17.499999999999986</v>
      </c>
      <c r="C110" s="104">
        <v>12.49</v>
      </c>
      <c r="D110" s="75">
        <v>12.47</v>
      </c>
      <c r="E110" s="75">
        <v>12.32</v>
      </c>
      <c r="F110" s="75">
        <v>-2.1520000000000001</v>
      </c>
      <c r="G110" s="75">
        <v>-2.2829999999999999</v>
      </c>
      <c r="H110" s="105">
        <v>-2.6859999999999999</v>
      </c>
      <c r="I110" s="104">
        <v>12.43</v>
      </c>
      <c r="J110" s="75">
        <v>12.39</v>
      </c>
      <c r="K110" s="75">
        <v>12.24</v>
      </c>
      <c r="L110" s="75">
        <v>-1.431</v>
      </c>
      <c r="M110" s="75">
        <v>-1.5740000000000001</v>
      </c>
      <c r="N110" s="105">
        <v>-2.2410000000000001</v>
      </c>
      <c r="O110" s="104">
        <v>28.37</v>
      </c>
      <c r="P110" s="75">
        <v>28.28</v>
      </c>
      <c r="Q110" s="75">
        <v>28.31</v>
      </c>
      <c r="R110" s="75">
        <v>-1.917</v>
      </c>
      <c r="S110" s="75">
        <v>-2.1190000000000002</v>
      </c>
      <c r="T110" s="105">
        <v>-1.538</v>
      </c>
      <c r="U110" s="104">
        <v>28.22</v>
      </c>
      <c r="V110" s="75">
        <v>28.14</v>
      </c>
      <c r="W110" s="75">
        <v>28.15</v>
      </c>
      <c r="X110" s="75">
        <v>-2.044</v>
      </c>
      <c r="Y110" s="75">
        <v>-2.5920000000000001</v>
      </c>
      <c r="Z110" s="105">
        <v>-3.2029999999999998</v>
      </c>
      <c r="AA110" s="104">
        <v>12.34</v>
      </c>
      <c r="AB110" s="75">
        <v>12.28</v>
      </c>
      <c r="AC110" s="75">
        <v>12.12</v>
      </c>
      <c r="AD110" s="75">
        <v>-0.93</v>
      </c>
      <c r="AE110" s="75">
        <v>-0.63</v>
      </c>
      <c r="AF110" s="105">
        <v>-0.86799999999999999</v>
      </c>
    </row>
    <row r="111" spans="2:32" x14ac:dyDescent="0.3">
      <c r="B111" s="111">
        <v>17.666666666666654</v>
      </c>
      <c r="C111" s="104">
        <v>12.41</v>
      </c>
      <c r="D111" s="75">
        <v>12.38</v>
      </c>
      <c r="E111" s="75">
        <v>12.25</v>
      </c>
      <c r="F111" s="75">
        <v>-2.4119999999999999</v>
      </c>
      <c r="G111" s="75">
        <v>-2.9060000000000001</v>
      </c>
      <c r="H111" s="105">
        <v>-2.6829999999999998</v>
      </c>
      <c r="I111" s="104">
        <v>12.35</v>
      </c>
      <c r="J111" s="75">
        <v>12.3</v>
      </c>
      <c r="K111" s="75">
        <v>12.16</v>
      </c>
      <c r="L111" s="75">
        <v>-1.64</v>
      </c>
      <c r="M111" s="75">
        <v>-1.474</v>
      </c>
      <c r="N111" s="105">
        <v>-1.73</v>
      </c>
      <c r="O111" s="104">
        <v>28.23</v>
      </c>
      <c r="P111" s="75">
        <v>28.2</v>
      </c>
      <c r="Q111" s="75">
        <v>28.23</v>
      </c>
      <c r="R111" s="75">
        <v>-1.5489999999999999</v>
      </c>
      <c r="S111" s="75">
        <v>-1.794</v>
      </c>
      <c r="T111" s="105">
        <v>-1.833</v>
      </c>
      <c r="U111" s="104">
        <v>28.14</v>
      </c>
      <c r="V111" s="75">
        <v>28.06</v>
      </c>
      <c r="W111" s="75">
        <v>28.07</v>
      </c>
      <c r="X111" s="75">
        <v>-2.5499999999999998</v>
      </c>
      <c r="Y111" s="75">
        <v>-2.4510000000000001</v>
      </c>
      <c r="Z111" s="105">
        <v>-3.21</v>
      </c>
      <c r="AA111" s="104">
        <v>12.26</v>
      </c>
      <c r="AB111" s="75">
        <v>12.19</v>
      </c>
      <c r="AC111" s="75">
        <v>12.04</v>
      </c>
      <c r="AD111" s="75">
        <v>-1.1890000000000001</v>
      </c>
      <c r="AE111" s="75">
        <v>-1.1870000000000001</v>
      </c>
      <c r="AF111" s="105">
        <v>-0.89400000000000002</v>
      </c>
    </row>
    <row r="112" spans="2:32" x14ac:dyDescent="0.3">
      <c r="B112" s="111">
        <v>17.833333333333321</v>
      </c>
      <c r="C112" s="104">
        <v>12.33</v>
      </c>
      <c r="D112" s="75">
        <v>12.31</v>
      </c>
      <c r="E112" s="75">
        <v>12.17</v>
      </c>
      <c r="F112" s="75">
        <v>-2.3140000000000001</v>
      </c>
      <c r="G112" s="75">
        <v>-2.6219999999999999</v>
      </c>
      <c r="H112" s="105">
        <v>-2.577</v>
      </c>
      <c r="I112" s="104">
        <v>12.27</v>
      </c>
      <c r="J112" s="75">
        <v>12.22</v>
      </c>
      <c r="K112" s="75">
        <v>12.08</v>
      </c>
      <c r="L112" s="75">
        <v>-1.865</v>
      </c>
      <c r="M112" s="75">
        <v>-2.0630000000000002</v>
      </c>
      <c r="N112" s="105">
        <v>-1.863</v>
      </c>
      <c r="O112" s="104">
        <v>28.15</v>
      </c>
      <c r="P112" s="75">
        <v>28.13</v>
      </c>
      <c r="Q112" s="75">
        <v>28.16</v>
      </c>
      <c r="R112" s="75">
        <v>-1.546</v>
      </c>
      <c r="S112" s="75">
        <v>-1.788</v>
      </c>
      <c r="T112" s="105">
        <v>-1.8280000000000001</v>
      </c>
      <c r="U112" s="104">
        <v>28.07</v>
      </c>
      <c r="V112" s="75">
        <v>27.99</v>
      </c>
      <c r="W112" s="75">
        <v>28.01</v>
      </c>
      <c r="X112" s="75">
        <v>-2.524</v>
      </c>
      <c r="Y112" s="75">
        <v>-2.5939999999999999</v>
      </c>
      <c r="Z112" s="105">
        <v>-3.2050000000000001</v>
      </c>
      <c r="AA112" s="104">
        <v>12.18</v>
      </c>
      <c r="AB112" s="75">
        <v>12.11</v>
      </c>
      <c r="AC112" s="75">
        <v>11.96</v>
      </c>
      <c r="AD112" s="75">
        <v>-1.085</v>
      </c>
      <c r="AE112" s="75">
        <v>-0.89200000000000002</v>
      </c>
      <c r="AF112" s="105">
        <v>-0.80500000000000005</v>
      </c>
    </row>
    <row r="113" spans="2:32" x14ac:dyDescent="0.3">
      <c r="B113" s="111">
        <v>17.999999999999989</v>
      </c>
      <c r="C113" s="104">
        <v>12.26</v>
      </c>
      <c r="D113" s="75">
        <v>12.24</v>
      </c>
      <c r="E113" s="75">
        <v>12.1</v>
      </c>
      <c r="F113" s="75">
        <v>-2.2290000000000001</v>
      </c>
      <c r="G113" s="75">
        <v>-2.3439999999999999</v>
      </c>
      <c r="H113" s="105">
        <v>-2.5139999999999998</v>
      </c>
      <c r="I113" s="104">
        <v>12.19</v>
      </c>
      <c r="J113" s="75">
        <v>12.15</v>
      </c>
      <c r="K113" s="75">
        <v>12.01</v>
      </c>
      <c r="L113" s="75">
        <v>-1.776</v>
      </c>
      <c r="M113" s="75">
        <v>-1.79</v>
      </c>
      <c r="N113" s="105">
        <v>-1.7889999999999999</v>
      </c>
      <c r="O113" s="104">
        <v>28.06</v>
      </c>
      <c r="P113" s="75">
        <v>28.05</v>
      </c>
      <c r="Q113" s="75">
        <v>28.08</v>
      </c>
      <c r="R113" s="75">
        <v>-1.5269999999999999</v>
      </c>
      <c r="S113" s="75">
        <v>-1.5329999999999999</v>
      </c>
      <c r="T113" s="105">
        <v>-1.8009999999999999</v>
      </c>
      <c r="U113" s="104">
        <v>27.97</v>
      </c>
      <c r="V113" s="75">
        <v>27.92</v>
      </c>
      <c r="W113" s="75">
        <v>27.93</v>
      </c>
      <c r="X113" s="75">
        <v>-2.629</v>
      </c>
      <c r="Y113" s="75">
        <v>-2.786</v>
      </c>
      <c r="Z113" s="105">
        <v>-3.3849999999999998</v>
      </c>
      <c r="AA113" s="104">
        <v>12.1</v>
      </c>
      <c r="AB113" s="75">
        <v>12.04</v>
      </c>
      <c r="AC113" s="75">
        <v>11.89</v>
      </c>
      <c r="AD113" s="75">
        <v>-1.0329999999999999</v>
      </c>
      <c r="AE113" s="75">
        <v>-0.59099999999999997</v>
      </c>
      <c r="AF113" s="105">
        <v>-0.64900000000000002</v>
      </c>
    </row>
    <row r="114" spans="2:32" x14ac:dyDescent="0.3">
      <c r="B114" s="111">
        <v>18.166666666666657</v>
      </c>
      <c r="C114" s="104">
        <v>12.19</v>
      </c>
      <c r="D114" s="75">
        <v>12.17</v>
      </c>
      <c r="E114" s="75">
        <v>12.02</v>
      </c>
      <c r="F114" s="75">
        <v>-2.2040000000000002</v>
      </c>
      <c r="G114" s="75">
        <v>-2.4449999999999998</v>
      </c>
      <c r="H114" s="105">
        <v>-2.472</v>
      </c>
      <c r="I114" s="104">
        <v>12.12</v>
      </c>
      <c r="J114" s="75">
        <v>12.08</v>
      </c>
      <c r="K114" s="75">
        <v>11.93</v>
      </c>
      <c r="L114" s="75">
        <v>-1.7569999999999999</v>
      </c>
      <c r="M114" s="75">
        <v>-1.484</v>
      </c>
      <c r="N114" s="105">
        <v>-1.6</v>
      </c>
      <c r="O114" s="104">
        <v>28</v>
      </c>
      <c r="P114" s="75">
        <v>27.97</v>
      </c>
      <c r="Q114" s="75">
        <v>28.01</v>
      </c>
      <c r="R114" s="75">
        <v>-1.54</v>
      </c>
      <c r="S114" s="75">
        <v>-1.776</v>
      </c>
      <c r="T114" s="105">
        <v>-1.819</v>
      </c>
      <c r="U114" s="104">
        <v>27.92</v>
      </c>
      <c r="V114" s="75">
        <v>27.84</v>
      </c>
      <c r="W114" s="75">
        <v>27.86</v>
      </c>
      <c r="X114" s="75">
        <v>-2.472</v>
      </c>
      <c r="Y114" s="75">
        <v>-2.5960000000000001</v>
      </c>
      <c r="Z114" s="105">
        <v>-3.2069999999999999</v>
      </c>
      <c r="AA114" s="104">
        <v>12.03</v>
      </c>
      <c r="AB114" s="75">
        <v>11.97</v>
      </c>
      <c r="AC114" s="75">
        <v>11.82</v>
      </c>
      <c r="AD114" s="75">
        <v>-0.91300000000000003</v>
      </c>
      <c r="AE114" s="75">
        <v>-0.72</v>
      </c>
      <c r="AF114" s="105">
        <v>-0.628</v>
      </c>
    </row>
    <row r="115" spans="2:32" x14ac:dyDescent="0.3">
      <c r="B115" s="111">
        <v>18.333333333333325</v>
      </c>
      <c r="C115" s="104">
        <v>12.11</v>
      </c>
      <c r="D115" s="75">
        <v>12.1</v>
      </c>
      <c r="E115" s="75">
        <v>11.96</v>
      </c>
      <c r="F115" s="75">
        <v>-2.1869999999999998</v>
      </c>
      <c r="G115" s="75">
        <v>-2.34</v>
      </c>
      <c r="H115" s="105">
        <v>-2.5</v>
      </c>
      <c r="I115" s="104">
        <v>12.04</v>
      </c>
      <c r="J115" s="75">
        <v>12.01</v>
      </c>
      <c r="K115" s="75">
        <v>11.87</v>
      </c>
      <c r="L115" s="75">
        <v>-1.6639999999999999</v>
      </c>
      <c r="M115" s="75">
        <v>-1.603</v>
      </c>
      <c r="N115" s="105">
        <v>-1.4990000000000001</v>
      </c>
      <c r="O115" s="104">
        <v>27.93</v>
      </c>
      <c r="P115" s="75">
        <v>27.9</v>
      </c>
      <c r="Q115" s="75">
        <v>27.93</v>
      </c>
      <c r="R115" s="75">
        <v>-1.5369999999999999</v>
      </c>
      <c r="S115" s="75">
        <v>-1.77</v>
      </c>
      <c r="T115" s="105">
        <v>-1.8140000000000001</v>
      </c>
      <c r="U115" s="104">
        <v>27.85</v>
      </c>
      <c r="V115" s="75">
        <v>27.76</v>
      </c>
      <c r="W115" s="75">
        <v>27.79</v>
      </c>
      <c r="X115" s="75">
        <v>-2.4460000000000002</v>
      </c>
      <c r="Y115" s="75">
        <v>-2.758</v>
      </c>
      <c r="Z115" s="105">
        <v>-3.5950000000000002</v>
      </c>
      <c r="AA115" s="104">
        <v>11.95</v>
      </c>
      <c r="AB115" s="75">
        <v>11.89</v>
      </c>
      <c r="AC115" s="75">
        <v>11.75</v>
      </c>
      <c r="AD115" s="75">
        <v>-0.93799999999999994</v>
      </c>
      <c r="AE115" s="75">
        <v>-0.61599999999999999</v>
      </c>
      <c r="AF115" s="105">
        <v>-0.69499999999999995</v>
      </c>
    </row>
    <row r="116" spans="2:32" x14ac:dyDescent="0.3">
      <c r="B116" s="111">
        <v>18.499999999999993</v>
      </c>
      <c r="C116" s="104">
        <v>12.04</v>
      </c>
      <c r="D116" s="75">
        <v>12.02</v>
      </c>
      <c r="E116" s="75">
        <v>11.88</v>
      </c>
      <c r="F116" s="75">
        <v>-2.0430000000000001</v>
      </c>
      <c r="G116" s="75">
        <v>-2.528</v>
      </c>
      <c r="H116" s="105">
        <v>-2.4319999999999999</v>
      </c>
      <c r="I116" s="104">
        <v>11.97</v>
      </c>
      <c r="J116" s="75">
        <v>11.93</v>
      </c>
      <c r="K116" s="75">
        <v>11.79</v>
      </c>
      <c r="L116" s="75">
        <v>-1.6339999999999999</v>
      </c>
      <c r="M116" s="75">
        <v>-1.5629999999999999</v>
      </c>
      <c r="N116" s="105">
        <v>-1.6559999999999999</v>
      </c>
      <c r="O116" s="104">
        <v>27.87</v>
      </c>
      <c r="P116" s="75">
        <v>27.82</v>
      </c>
      <c r="Q116" s="75">
        <v>27.85</v>
      </c>
      <c r="R116" s="75">
        <v>-1.8660000000000001</v>
      </c>
      <c r="S116" s="75">
        <v>-2.2010000000000001</v>
      </c>
      <c r="T116" s="105">
        <v>-1.375</v>
      </c>
      <c r="U116" s="104">
        <v>27.79</v>
      </c>
      <c r="V116" s="75">
        <v>27.69</v>
      </c>
      <c r="W116" s="75">
        <v>27.72</v>
      </c>
      <c r="X116" s="75">
        <v>-2.6309999999999998</v>
      </c>
      <c r="Y116" s="75">
        <v>-2.5990000000000002</v>
      </c>
      <c r="Z116" s="105">
        <v>-3.21</v>
      </c>
      <c r="AA116" s="104">
        <v>11.88</v>
      </c>
      <c r="AB116" s="75">
        <v>11.82</v>
      </c>
      <c r="AC116" s="75">
        <v>11.67</v>
      </c>
      <c r="AD116" s="75">
        <v>-0.77100000000000002</v>
      </c>
      <c r="AE116" s="75">
        <v>-0.83099999999999996</v>
      </c>
      <c r="AF116" s="105">
        <v>-0.61399999999999999</v>
      </c>
    </row>
    <row r="117" spans="2:32" x14ac:dyDescent="0.3">
      <c r="B117" s="111">
        <v>18.666666666666661</v>
      </c>
      <c r="C117" s="104">
        <v>11.96</v>
      </c>
      <c r="D117" s="75">
        <v>11.95</v>
      </c>
      <c r="E117" s="75">
        <v>11.81</v>
      </c>
      <c r="F117" s="75">
        <v>-2.399</v>
      </c>
      <c r="G117" s="75">
        <v>-2.35</v>
      </c>
      <c r="H117" s="105">
        <v>-2.488</v>
      </c>
      <c r="I117" s="104">
        <v>11.9</v>
      </c>
      <c r="J117" s="75">
        <v>11.86</v>
      </c>
      <c r="K117" s="75">
        <v>11.72</v>
      </c>
      <c r="L117" s="75">
        <v>-1.474</v>
      </c>
      <c r="M117" s="75">
        <v>-1.6579999999999999</v>
      </c>
      <c r="N117" s="105">
        <v>-1.609</v>
      </c>
      <c r="O117" s="104">
        <v>27.77</v>
      </c>
      <c r="P117" s="75">
        <v>27.74</v>
      </c>
      <c r="Q117" s="75">
        <v>27.78</v>
      </c>
      <c r="R117" s="75">
        <v>-1.5309999999999999</v>
      </c>
      <c r="S117" s="75">
        <v>-1.7569999999999999</v>
      </c>
      <c r="T117" s="105">
        <v>-1.8049999999999999</v>
      </c>
      <c r="U117" s="104">
        <v>27.7</v>
      </c>
      <c r="V117" s="75">
        <v>27.62</v>
      </c>
      <c r="W117" s="75">
        <v>27.64</v>
      </c>
      <c r="X117" s="75">
        <v>-2.3940000000000001</v>
      </c>
      <c r="Y117" s="75">
        <v>-2.4329999999999998</v>
      </c>
      <c r="Z117" s="105">
        <v>-3.3719999999999999</v>
      </c>
      <c r="AA117" s="104">
        <v>11.8</v>
      </c>
      <c r="AB117" s="75">
        <v>11.75</v>
      </c>
      <c r="AC117" s="75">
        <v>11.6</v>
      </c>
      <c r="AD117" s="75">
        <v>-1.101</v>
      </c>
      <c r="AE117" s="75">
        <v>-0.6</v>
      </c>
      <c r="AF117" s="105">
        <v>-0.69199999999999995</v>
      </c>
    </row>
    <row r="118" spans="2:32" x14ac:dyDescent="0.3">
      <c r="B118" s="111">
        <v>18.833333333333329</v>
      </c>
      <c r="C118" s="104">
        <v>11.89</v>
      </c>
      <c r="D118" s="75">
        <v>11.89</v>
      </c>
      <c r="E118" s="75">
        <v>11.74</v>
      </c>
      <c r="F118" s="75">
        <v>-2.1480000000000001</v>
      </c>
      <c r="G118" s="75">
        <v>-2.2810000000000001</v>
      </c>
      <c r="H118" s="105">
        <v>-2.4279999999999999</v>
      </c>
      <c r="I118" s="104">
        <v>11.83</v>
      </c>
      <c r="J118" s="75">
        <v>11.8</v>
      </c>
      <c r="K118" s="75">
        <v>11.65</v>
      </c>
      <c r="L118" s="75">
        <v>-1.8140000000000001</v>
      </c>
      <c r="M118" s="75">
        <v>-1.454</v>
      </c>
      <c r="N118" s="105">
        <v>-1.617</v>
      </c>
      <c r="O118" s="104">
        <v>27.7</v>
      </c>
      <c r="P118" s="75">
        <v>27.67</v>
      </c>
      <c r="Q118" s="75">
        <v>27.71</v>
      </c>
      <c r="R118" s="75">
        <v>-1.5269999999999999</v>
      </c>
      <c r="S118" s="75">
        <v>-1.7509999999999999</v>
      </c>
      <c r="T118" s="105">
        <v>-1.8</v>
      </c>
      <c r="U118" s="104">
        <v>27.63</v>
      </c>
      <c r="V118" s="75">
        <v>27.54</v>
      </c>
      <c r="W118" s="75">
        <v>27.57</v>
      </c>
      <c r="X118" s="75">
        <v>-2.3690000000000002</v>
      </c>
      <c r="Y118" s="75">
        <v>-2.601</v>
      </c>
      <c r="Z118" s="105">
        <v>-3.2120000000000002</v>
      </c>
      <c r="AA118" s="104">
        <v>11.74</v>
      </c>
      <c r="AB118" s="75">
        <v>11.69</v>
      </c>
      <c r="AC118" s="75">
        <v>11.53</v>
      </c>
      <c r="AD118" s="75">
        <v>-0.875</v>
      </c>
      <c r="AE118" s="75">
        <v>-0.49099999999999999</v>
      </c>
      <c r="AF118" s="105">
        <v>-0.54800000000000004</v>
      </c>
    </row>
    <row r="119" spans="2:32" x14ac:dyDescent="0.3">
      <c r="B119" s="111">
        <v>18.999999999999996</v>
      </c>
      <c r="C119" s="104">
        <v>11.83</v>
      </c>
      <c r="D119" s="75">
        <v>11.82</v>
      </c>
      <c r="E119" s="75">
        <v>11.66</v>
      </c>
      <c r="F119" s="75">
        <v>-1.998</v>
      </c>
      <c r="G119" s="75">
        <v>-2.5009999999999999</v>
      </c>
      <c r="H119" s="105">
        <v>-2.754</v>
      </c>
      <c r="I119" s="104">
        <v>11.76</v>
      </c>
      <c r="J119" s="75">
        <v>11.73</v>
      </c>
      <c r="K119" s="75">
        <v>11.57</v>
      </c>
      <c r="L119" s="75">
        <v>-1.6180000000000001</v>
      </c>
      <c r="M119" s="75">
        <v>-1.294</v>
      </c>
      <c r="N119" s="105">
        <v>-1.49</v>
      </c>
      <c r="O119" s="104">
        <v>27.62</v>
      </c>
      <c r="P119" s="75">
        <v>27.59</v>
      </c>
      <c r="Q119" s="75">
        <v>27.63</v>
      </c>
      <c r="R119" s="75">
        <v>-1.603</v>
      </c>
      <c r="S119" s="75">
        <v>-1.5169999999999999</v>
      </c>
      <c r="T119" s="105">
        <v>-1.794</v>
      </c>
      <c r="U119" s="104">
        <v>27.64</v>
      </c>
      <c r="V119" s="75">
        <v>27.47</v>
      </c>
      <c r="W119" s="75">
        <v>27.5</v>
      </c>
      <c r="X119" s="75">
        <v>-2.2679999999999998</v>
      </c>
      <c r="Y119" s="75">
        <v>-2.6269999999999998</v>
      </c>
      <c r="Z119" s="105">
        <v>-3.0950000000000002</v>
      </c>
      <c r="AA119" s="104">
        <v>11.67</v>
      </c>
      <c r="AB119" s="75">
        <v>11.61</v>
      </c>
      <c r="AC119" s="75">
        <v>11.45</v>
      </c>
      <c r="AD119" s="75">
        <v>-0.66800000000000004</v>
      </c>
      <c r="AE119" s="75">
        <v>-0.67900000000000005</v>
      </c>
      <c r="AF119" s="105">
        <v>-0.85499999999999998</v>
      </c>
    </row>
    <row r="120" spans="2:32" x14ac:dyDescent="0.3">
      <c r="B120" s="111">
        <v>19.166666666666664</v>
      </c>
      <c r="C120" s="104">
        <v>11.75</v>
      </c>
      <c r="D120" s="75">
        <v>11.74</v>
      </c>
      <c r="E120" s="75">
        <v>11.58</v>
      </c>
      <c r="F120" s="75">
        <v>-2.2330000000000001</v>
      </c>
      <c r="G120" s="75">
        <v>-2.5070000000000001</v>
      </c>
      <c r="H120" s="105">
        <v>-2.714</v>
      </c>
      <c r="I120" s="104">
        <v>11.69</v>
      </c>
      <c r="J120" s="75">
        <v>11.66</v>
      </c>
      <c r="K120" s="75">
        <v>11.49</v>
      </c>
      <c r="L120" s="75">
        <v>-1.3839999999999999</v>
      </c>
      <c r="M120" s="75">
        <v>-1.5940000000000001</v>
      </c>
      <c r="N120" s="105">
        <v>-1.7330000000000001</v>
      </c>
      <c r="O120" s="104">
        <v>27.55</v>
      </c>
      <c r="P120" s="75">
        <v>27.51</v>
      </c>
      <c r="Q120" s="75">
        <v>27.56</v>
      </c>
      <c r="R120" s="75">
        <v>-1.5209999999999999</v>
      </c>
      <c r="S120" s="75">
        <v>-1.7390000000000001</v>
      </c>
      <c r="T120" s="105">
        <v>-1.7909999999999999</v>
      </c>
      <c r="U120" s="104">
        <v>27.48</v>
      </c>
      <c r="V120" s="75">
        <v>27.39</v>
      </c>
      <c r="W120" s="75">
        <v>27.43</v>
      </c>
      <c r="X120" s="75">
        <v>-2.3170000000000002</v>
      </c>
      <c r="Y120" s="75">
        <v>-2.6030000000000002</v>
      </c>
      <c r="Z120" s="105">
        <v>-3.214</v>
      </c>
      <c r="AA120" s="104">
        <v>11.6</v>
      </c>
      <c r="AB120" s="75">
        <v>11.54</v>
      </c>
      <c r="AC120" s="75">
        <v>11.37</v>
      </c>
      <c r="AD120" s="75">
        <v>-0.95</v>
      </c>
      <c r="AE120" s="75">
        <v>-0.64700000000000002</v>
      </c>
      <c r="AF120" s="105">
        <v>-0.79100000000000004</v>
      </c>
    </row>
    <row r="121" spans="2:32" x14ac:dyDescent="0.3">
      <c r="B121" s="111">
        <v>19.333333333333332</v>
      </c>
      <c r="C121" s="104">
        <v>11.68</v>
      </c>
      <c r="D121" s="75">
        <v>11.67</v>
      </c>
      <c r="E121" s="75">
        <v>11.51</v>
      </c>
      <c r="F121" s="75">
        <v>-2.2360000000000002</v>
      </c>
      <c r="G121" s="75">
        <v>-2.4239999999999999</v>
      </c>
      <c r="H121" s="105">
        <v>-2.573</v>
      </c>
      <c r="I121" s="104">
        <v>11.61</v>
      </c>
      <c r="J121" s="75">
        <v>11.58</v>
      </c>
      <c r="K121" s="75">
        <v>11.42</v>
      </c>
      <c r="L121" s="75">
        <v>-1.6850000000000001</v>
      </c>
      <c r="M121" s="75">
        <v>-1.585</v>
      </c>
      <c r="N121" s="105">
        <v>-1.784</v>
      </c>
      <c r="O121" s="104">
        <v>27.47</v>
      </c>
      <c r="P121" s="75">
        <v>27.44</v>
      </c>
      <c r="Q121" s="75">
        <v>27.48</v>
      </c>
      <c r="R121" s="75">
        <v>-1.518</v>
      </c>
      <c r="S121" s="75">
        <v>-1.7330000000000001</v>
      </c>
      <c r="T121" s="105">
        <v>-1.7869999999999999</v>
      </c>
      <c r="U121" s="104">
        <v>27.41</v>
      </c>
      <c r="V121" s="75">
        <v>27.32</v>
      </c>
      <c r="W121" s="75">
        <v>27.35</v>
      </c>
      <c r="X121" s="75">
        <v>-2.2909999999999999</v>
      </c>
      <c r="Y121" s="75">
        <v>-2.5150000000000001</v>
      </c>
      <c r="Z121" s="105">
        <v>-3.8359999999999999</v>
      </c>
      <c r="AA121" s="104">
        <v>11.52</v>
      </c>
      <c r="AB121" s="75">
        <v>11.47</v>
      </c>
      <c r="AC121" s="75">
        <v>11.3</v>
      </c>
      <c r="AD121" s="75">
        <v>-0.89600000000000002</v>
      </c>
      <c r="AE121" s="75">
        <v>-0.65500000000000003</v>
      </c>
      <c r="AF121" s="105">
        <v>-0.68700000000000006</v>
      </c>
    </row>
    <row r="122" spans="2:32" x14ac:dyDescent="0.3">
      <c r="B122" s="111">
        <v>19.5</v>
      </c>
      <c r="C122" s="104">
        <v>11.6</v>
      </c>
      <c r="D122" s="75">
        <v>11.6</v>
      </c>
      <c r="E122" s="75">
        <v>11.44</v>
      </c>
      <c r="F122" s="75">
        <v>-2.423</v>
      </c>
      <c r="G122" s="75">
        <v>-2.524</v>
      </c>
      <c r="H122" s="105">
        <v>-2.5350000000000001</v>
      </c>
      <c r="I122" s="104">
        <v>11.54</v>
      </c>
      <c r="J122" s="75">
        <v>11.52</v>
      </c>
      <c r="K122" s="75">
        <v>11.35</v>
      </c>
      <c r="L122" s="75">
        <v>-1.631</v>
      </c>
      <c r="M122" s="75">
        <v>-1.583</v>
      </c>
      <c r="N122" s="105">
        <v>-1.609</v>
      </c>
      <c r="O122" s="104">
        <v>27.38</v>
      </c>
      <c r="P122" s="75">
        <v>27.36</v>
      </c>
      <c r="Q122" s="75">
        <v>27.41</v>
      </c>
      <c r="R122" s="75">
        <v>-1.992</v>
      </c>
      <c r="S122" s="75">
        <v>-1.9419999999999999</v>
      </c>
      <c r="T122" s="105">
        <v>-1.478</v>
      </c>
      <c r="U122" s="104">
        <v>27.37</v>
      </c>
      <c r="V122" s="75">
        <v>27.25</v>
      </c>
      <c r="W122" s="75">
        <v>27.28</v>
      </c>
      <c r="X122" s="75">
        <v>-1.972</v>
      </c>
      <c r="Y122" s="75">
        <v>-2.6059999999999999</v>
      </c>
      <c r="Z122" s="105">
        <v>-3.2170000000000001</v>
      </c>
      <c r="AA122" s="104">
        <v>11.44</v>
      </c>
      <c r="AB122" s="75">
        <v>11.4</v>
      </c>
      <c r="AC122" s="75">
        <v>11.22</v>
      </c>
      <c r="AD122" s="75">
        <v>-1.107</v>
      </c>
      <c r="AE122" s="75">
        <v>-0.77</v>
      </c>
      <c r="AF122" s="105">
        <v>-0.58499999999999996</v>
      </c>
    </row>
    <row r="123" spans="2:32" x14ac:dyDescent="0.3">
      <c r="B123" s="111">
        <v>19.666666666666668</v>
      </c>
      <c r="C123" s="104">
        <v>11.53</v>
      </c>
      <c r="D123" s="75">
        <v>11.53</v>
      </c>
      <c r="E123" s="75">
        <v>11.34</v>
      </c>
      <c r="F123" s="75">
        <v>-2.1539999999999999</v>
      </c>
      <c r="G123" s="75">
        <v>-2.5059999999999998</v>
      </c>
      <c r="H123" s="105">
        <v>-3.069</v>
      </c>
      <c r="I123" s="104">
        <v>11.47</v>
      </c>
      <c r="J123" s="75">
        <v>11.44</v>
      </c>
      <c r="K123" s="75">
        <v>11.25</v>
      </c>
      <c r="L123" s="75">
        <v>-1.849</v>
      </c>
      <c r="M123" s="75">
        <v>-1.732</v>
      </c>
      <c r="N123" s="105">
        <v>-1.585</v>
      </c>
      <c r="O123" s="104">
        <v>27.32</v>
      </c>
      <c r="P123" s="75">
        <v>27.28</v>
      </c>
      <c r="Q123" s="75">
        <v>27.34</v>
      </c>
      <c r="R123" s="75">
        <v>-1.512</v>
      </c>
      <c r="S123" s="75">
        <v>-1.72</v>
      </c>
      <c r="T123" s="105">
        <v>-1.8129999999999999</v>
      </c>
      <c r="U123" s="104">
        <v>27.27</v>
      </c>
      <c r="V123" s="75">
        <v>27.17</v>
      </c>
      <c r="W123" s="75">
        <v>27.22</v>
      </c>
      <c r="X123" s="75">
        <v>-2.2389999999999999</v>
      </c>
      <c r="Y123" s="75">
        <v>-2.98</v>
      </c>
      <c r="Z123" s="105">
        <v>-3.3450000000000002</v>
      </c>
      <c r="AA123" s="104">
        <v>11.37</v>
      </c>
      <c r="AB123" s="75">
        <v>11.33</v>
      </c>
      <c r="AC123" s="75">
        <v>11.13</v>
      </c>
      <c r="AD123" s="75">
        <v>-0.84799999999999998</v>
      </c>
      <c r="AE123" s="75">
        <v>-0.67900000000000005</v>
      </c>
      <c r="AF123" s="105">
        <v>-1.194</v>
      </c>
    </row>
    <row r="124" spans="2:32" x14ac:dyDescent="0.3">
      <c r="B124" s="111">
        <v>19.833333333333336</v>
      </c>
      <c r="C124" s="104">
        <v>11.47</v>
      </c>
      <c r="D124" s="75">
        <v>11.45</v>
      </c>
      <c r="E124" s="75">
        <v>11.26</v>
      </c>
      <c r="F124" s="75">
        <v>-2.0259999999999998</v>
      </c>
      <c r="G124" s="75">
        <v>-2.5619999999999998</v>
      </c>
      <c r="H124" s="105">
        <v>-2.85</v>
      </c>
      <c r="I124" s="104">
        <v>11.4</v>
      </c>
      <c r="J124" s="75">
        <v>11.36</v>
      </c>
      <c r="K124" s="75">
        <v>11.18</v>
      </c>
      <c r="L124" s="75">
        <v>-1.56</v>
      </c>
      <c r="M124" s="75">
        <v>-1.6140000000000001</v>
      </c>
      <c r="N124" s="105">
        <v>-2.2559999999999998</v>
      </c>
      <c r="O124" s="104">
        <v>27.25</v>
      </c>
      <c r="P124" s="75">
        <v>27.21</v>
      </c>
      <c r="Q124" s="75">
        <v>27.26</v>
      </c>
      <c r="R124" s="75">
        <v>-1.5089999999999999</v>
      </c>
      <c r="S124" s="75">
        <v>-1.714</v>
      </c>
      <c r="T124" s="105">
        <v>-2.161</v>
      </c>
      <c r="U124" s="104">
        <v>27.19</v>
      </c>
      <c r="V124" s="75">
        <v>27.09</v>
      </c>
      <c r="W124" s="75">
        <v>27.14</v>
      </c>
      <c r="X124" s="75">
        <v>-2.2130000000000001</v>
      </c>
      <c r="Y124" s="75">
        <v>-2.6080000000000001</v>
      </c>
      <c r="Z124" s="105">
        <v>-3.2189999999999999</v>
      </c>
      <c r="AA124" s="104">
        <v>11.3</v>
      </c>
      <c r="AB124" s="75">
        <v>11.24</v>
      </c>
      <c r="AC124" s="75">
        <v>11.04</v>
      </c>
      <c r="AD124" s="75">
        <v>-0.72699999999999998</v>
      </c>
      <c r="AE124" s="75">
        <v>-0.71699999999999997</v>
      </c>
      <c r="AF124" s="105">
        <v>-0.96699999999999997</v>
      </c>
    </row>
    <row r="125" spans="2:32" x14ac:dyDescent="0.3">
      <c r="B125" s="111">
        <v>20.000000000000004</v>
      </c>
      <c r="C125" s="104">
        <v>11.39</v>
      </c>
      <c r="D125" s="75">
        <v>11.37</v>
      </c>
      <c r="E125" s="75">
        <v>11.18</v>
      </c>
      <c r="F125" s="75">
        <v>-2.2669999999999999</v>
      </c>
      <c r="G125" s="75">
        <v>-2.9620000000000002</v>
      </c>
      <c r="H125" s="105">
        <v>-2.7909999999999999</v>
      </c>
      <c r="I125" s="104">
        <v>11.32</v>
      </c>
      <c r="J125" s="75">
        <v>11.29</v>
      </c>
      <c r="K125" s="75">
        <v>11.17</v>
      </c>
      <c r="L125" s="75">
        <v>-1.419</v>
      </c>
      <c r="M125" s="75">
        <v>-1.5960000000000001</v>
      </c>
      <c r="N125" s="105">
        <v>-2.0870000000000002</v>
      </c>
      <c r="O125" s="104">
        <v>27.14</v>
      </c>
      <c r="P125" s="75">
        <v>27.13</v>
      </c>
      <c r="Q125" s="75">
        <v>27.19</v>
      </c>
      <c r="R125" s="75">
        <v>-1.669</v>
      </c>
      <c r="S125" s="75">
        <v>-1.849</v>
      </c>
      <c r="T125" s="105">
        <v>-1.853</v>
      </c>
      <c r="U125" s="104">
        <v>27.13</v>
      </c>
      <c r="V125" s="75">
        <v>27.02</v>
      </c>
      <c r="W125" s="75">
        <v>27.08</v>
      </c>
      <c r="X125" s="75">
        <v>-1.843</v>
      </c>
      <c r="Y125" s="75">
        <v>-2.5870000000000002</v>
      </c>
      <c r="Z125" s="105">
        <v>-3.4969999999999999</v>
      </c>
      <c r="AA125" s="104">
        <v>11.22</v>
      </c>
      <c r="AB125" s="75">
        <v>11.16</v>
      </c>
      <c r="AC125" s="75">
        <v>10.96</v>
      </c>
      <c r="AD125" s="75">
        <v>-0.95</v>
      </c>
      <c r="AE125" s="75">
        <v>-1.115</v>
      </c>
      <c r="AF125" s="105">
        <v>-0.83899999999999997</v>
      </c>
    </row>
    <row r="126" spans="2:32" x14ac:dyDescent="0.3">
      <c r="B126" s="111">
        <v>20.166666666666671</v>
      </c>
      <c r="C126" s="104">
        <v>11.31</v>
      </c>
      <c r="D126" s="75">
        <v>11.28</v>
      </c>
      <c r="E126" s="75">
        <v>11.11</v>
      </c>
      <c r="F126" s="75">
        <v>-2.6640000000000001</v>
      </c>
      <c r="G126" s="75">
        <v>-3.1080000000000001</v>
      </c>
      <c r="H126" s="105">
        <v>-2.5880000000000001</v>
      </c>
      <c r="I126" s="104">
        <v>11.24</v>
      </c>
      <c r="J126" s="75">
        <v>11.2</v>
      </c>
      <c r="K126" s="75">
        <v>11.19</v>
      </c>
      <c r="L126" s="75">
        <v>-1.6930000000000001</v>
      </c>
      <c r="M126" s="75">
        <v>-1.986</v>
      </c>
      <c r="N126" s="105">
        <v>-3.2730000000000001</v>
      </c>
      <c r="O126" s="104">
        <v>27.09</v>
      </c>
      <c r="P126" s="75">
        <v>27.05</v>
      </c>
      <c r="Q126" s="75">
        <v>27.12</v>
      </c>
      <c r="R126" s="75">
        <v>-1.5029999999999999</v>
      </c>
      <c r="S126" s="75">
        <v>-1.702</v>
      </c>
      <c r="T126" s="105">
        <v>-1.8560000000000001</v>
      </c>
      <c r="U126" s="104">
        <v>27.05</v>
      </c>
      <c r="V126" s="75">
        <v>26.94</v>
      </c>
      <c r="W126" s="75">
        <v>27.01</v>
      </c>
      <c r="X126" s="75">
        <v>-1.84</v>
      </c>
      <c r="Y126" s="75">
        <v>-2.6110000000000002</v>
      </c>
      <c r="Z126" s="105">
        <v>-3.222</v>
      </c>
      <c r="AA126" s="104">
        <v>11.14</v>
      </c>
      <c r="AB126" s="75">
        <v>11.06</v>
      </c>
      <c r="AC126" s="75">
        <v>10.89</v>
      </c>
      <c r="AD126" s="75">
        <v>-1.3049999999999999</v>
      </c>
      <c r="AE126" s="75">
        <v>-1.2410000000000001</v>
      </c>
      <c r="AF126" s="105">
        <v>-0.59399999999999997</v>
      </c>
    </row>
    <row r="127" spans="2:32" x14ac:dyDescent="0.3">
      <c r="B127" s="111">
        <v>20.333333333333339</v>
      </c>
      <c r="C127" s="104">
        <v>11.22</v>
      </c>
      <c r="D127" s="75">
        <v>11.19</v>
      </c>
      <c r="E127" s="75">
        <v>11.04</v>
      </c>
      <c r="F127" s="75">
        <v>-2.7440000000000002</v>
      </c>
      <c r="G127" s="75">
        <v>-2.9390000000000001</v>
      </c>
      <c r="H127" s="105">
        <v>-2.6539999999999999</v>
      </c>
      <c r="I127" s="104">
        <v>11.18</v>
      </c>
      <c r="J127" s="75">
        <v>11.16</v>
      </c>
      <c r="K127" s="75">
        <v>11.18</v>
      </c>
      <c r="L127" s="75">
        <v>-2.0289999999999999</v>
      </c>
      <c r="M127" s="75">
        <v>-2.3340000000000001</v>
      </c>
      <c r="N127" s="105">
        <v>-5.1440000000000001</v>
      </c>
      <c r="O127" s="104">
        <v>27.02</v>
      </c>
      <c r="P127" s="75">
        <v>26.98</v>
      </c>
      <c r="Q127" s="75">
        <v>27.04</v>
      </c>
      <c r="R127" s="75">
        <v>-1.5</v>
      </c>
      <c r="S127" s="75">
        <v>-1.696</v>
      </c>
      <c r="T127" s="105">
        <v>-2.0470000000000002</v>
      </c>
      <c r="U127" s="104">
        <v>26.98</v>
      </c>
      <c r="V127" s="75">
        <v>26.87</v>
      </c>
      <c r="W127" s="75">
        <v>26.93</v>
      </c>
      <c r="X127" s="75">
        <v>-2.173</v>
      </c>
      <c r="Y127" s="75">
        <v>-2.6659999999999999</v>
      </c>
      <c r="Z127" s="105">
        <v>-2.6</v>
      </c>
      <c r="AA127" s="104">
        <v>11.05</v>
      </c>
      <c r="AB127" s="75">
        <v>10.97</v>
      </c>
      <c r="AC127" s="75">
        <v>10.81</v>
      </c>
      <c r="AD127" s="75">
        <v>-1.36</v>
      </c>
      <c r="AE127" s="75">
        <v>-1.03</v>
      </c>
      <c r="AF127" s="105">
        <v>-0.64</v>
      </c>
    </row>
    <row r="128" spans="2:32" x14ac:dyDescent="0.3">
      <c r="B128" s="111">
        <v>20.500000000000007</v>
      </c>
      <c r="C128" s="104">
        <v>11.14</v>
      </c>
      <c r="D128" s="75">
        <v>11.11</v>
      </c>
      <c r="E128" s="75">
        <v>10.96</v>
      </c>
      <c r="F128" s="75">
        <v>-2.5339999999999998</v>
      </c>
      <c r="G128" s="75">
        <v>-2.71</v>
      </c>
      <c r="H128" s="105">
        <v>-2.66</v>
      </c>
      <c r="I128" s="104">
        <v>11.18</v>
      </c>
      <c r="J128" s="75">
        <v>11.18</v>
      </c>
      <c r="K128" s="75">
        <v>11.16</v>
      </c>
      <c r="L128" s="75">
        <v>-2.4700000000000002</v>
      </c>
      <c r="M128" s="75">
        <v>-3.33</v>
      </c>
      <c r="N128" s="105">
        <v>-6.9420000000000002</v>
      </c>
      <c r="O128" s="104">
        <v>26.98</v>
      </c>
      <c r="P128" s="75">
        <v>26.9</v>
      </c>
      <c r="Q128" s="75">
        <v>26.97</v>
      </c>
      <c r="R128" s="75">
        <v>-1.5780000000000001</v>
      </c>
      <c r="S128" s="75">
        <v>-1.444</v>
      </c>
      <c r="T128" s="105">
        <v>-2.0129999999999999</v>
      </c>
      <c r="U128" s="104">
        <v>26.91</v>
      </c>
      <c r="V128" s="75">
        <v>26.79</v>
      </c>
      <c r="W128" s="75">
        <v>26.86</v>
      </c>
      <c r="X128" s="75">
        <v>-1.8340000000000001</v>
      </c>
      <c r="Y128" s="75">
        <v>-2.613</v>
      </c>
      <c r="Z128" s="105">
        <v>-3.2240000000000002</v>
      </c>
      <c r="AA128" s="104">
        <v>10.97</v>
      </c>
      <c r="AB128" s="75">
        <v>10.89</v>
      </c>
      <c r="AC128" s="75">
        <v>10.74</v>
      </c>
      <c r="AD128" s="75">
        <v>-1.1100000000000001</v>
      </c>
      <c r="AE128" s="75">
        <v>-0.79500000000000004</v>
      </c>
      <c r="AF128" s="105">
        <v>-0.624</v>
      </c>
    </row>
    <row r="129" spans="2:32" x14ac:dyDescent="0.3">
      <c r="B129" s="111">
        <v>20.666666666666675</v>
      </c>
      <c r="C129" s="104">
        <v>11.06</v>
      </c>
      <c r="D129" s="75">
        <v>11.03</v>
      </c>
      <c r="E129" s="75">
        <v>10.9</v>
      </c>
      <c r="F129" s="75">
        <v>-2.4350000000000001</v>
      </c>
      <c r="G129" s="75">
        <v>-2.7229999999999999</v>
      </c>
      <c r="H129" s="105">
        <v>-2.7240000000000002</v>
      </c>
      <c r="I129" s="104">
        <v>11.18</v>
      </c>
      <c r="J129" s="75">
        <v>11.18</v>
      </c>
      <c r="K129" s="75">
        <v>11.14</v>
      </c>
      <c r="L129" s="75">
        <v>-3.629</v>
      </c>
      <c r="M129" s="75">
        <v>-5.36</v>
      </c>
      <c r="N129" s="105">
        <v>-8.0399999999999991</v>
      </c>
      <c r="O129" s="104">
        <v>26.87</v>
      </c>
      <c r="P129" s="75">
        <v>26.82</v>
      </c>
      <c r="Q129" s="75">
        <v>26.88</v>
      </c>
      <c r="R129" s="75">
        <v>-1.494</v>
      </c>
      <c r="S129" s="75">
        <v>-1.6830000000000001</v>
      </c>
      <c r="T129" s="105">
        <v>-2.3969999999999998</v>
      </c>
      <c r="U129" s="104">
        <v>26.83</v>
      </c>
      <c r="V129" s="75">
        <v>26.72</v>
      </c>
      <c r="W129" s="75">
        <v>26.78</v>
      </c>
      <c r="X129" s="75">
        <v>-2.2789999999999999</v>
      </c>
      <c r="Y129" s="75">
        <v>-2.5739999999999998</v>
      </c>
      <c r="Z129" s="105">
        <v>-3.379</v>
      </c>
      <c r="AA129" s="104">
        <v>10.89</v>
      </c>
      <c r="AB129" s="75">
        <v>10.81</v>
      </c>
      <c r="AC129" s="75">
        <v>10.67</v>
      </c>
      <c r="AD129" s="75">
        <v>-0.98299999999999998</v>
      </c>
      <c r="AE129" s="75">
        <v>-0.8</v>
      </c>
      <c r="AF129" s="105">
        <v>-0.68600000000000005</v>
      </c>
    </row>
    <row r="130" spans="2:32" x14ac:dyDescent="0.3">
      <c r="B130" s="111">
        <v>20.833333333333343</v>
      </c>
      <c r="C130" s="104">
        <v>10.99</v>
      </c>
      <c r="D130" s="75">
        <v>10.97</v>
      </c>
      <c r="E130" s="75">
        <v>10.83</v>
      </c>
      <c r="F130" s="75">
        <v>-2.4279999999999999</v>
      </c>
      <c r="G130" s="75">
        <v>-2.7</v>
      </c>
      <c r="H130" s="105">
        <v>-2.6120000000000001</v>
      </c>
      <c r="I130" s="104">
        <v>11.17</v>
      </c>
      <c r="J130" s="75">
        <v>11.17</v>
      </c>
      <c r="K130" s="75">
        <v>11.1</v>
      </c>
      <c r="L130" s="75">
        <v>-5.7590000000000003</v>
      </c>
      <c r="M130" s="75">
        <v>-7.125</v>
      </c>
      <c r="N130" s="105">
        <v>-8.91</v>
      </c>
      <c r="O130" s="104">
        <v>26.79</v>
      </c>
      <c r="P130" s="75">
        <v>26.75</v>
      </c>
      <c r="Q130" s="75">
        <v>26.81</v>
      </c>
      <c r="R130" s="75">
        <v>-1.4910000000000001</v>
      </c>
      <c r="S130" s="75">
        <v>-1.677</v>
      </c>
      <c r="T130" s="105">
        <v>-2.2730000000000001</v>
      </c>
      <c r="U130" s="104">
        <v>26.76</v>
      </c>
      <c r="V130" s="75">
        <v>26.64</v>
      </c>
      <c r="W130" s="75">
        <v>26.71</v>
      </c>
      <c r="X130" s="75">
        <v>-1.829</v>
      </c>
      <c r="Y130" s="75">
        <v>-2.6150000000000002</v>
      </c>
      <c r="Z130" s="105">
        <v>-3.226</v>
      </c>
      <c r="AA130" s="104">
        <v>10.82</v>
      </c>
      <c r="AB130" s="75">
        <v>10.74</v>
      </c>
      <c r="AC130" s="75">
        <v>10.59</v>
      </c>
      <c r="AD130" s="75">
        <v>-0.95599999999999996</v>
      </c>
      <c r="AE130" s="75">
        <v>-0.68700000000000006</v>
      </c>
      <c r="AF130" s="105">
        <v>-0.48199999999999998</v>
      </c>
    </row>
    <row r="131" spans="2:32" x14ac:dyDescent="0.3">
      <c r="B131" s="111">
        <v>21.000000000000011</v>
      </c>
      <c r="C131" s="104">
        <v>10.92</v>
      </c>
      <c r="D131" s="75">
        <v>10.9</v>
      </c>
      <c r="E131" s="75">
        <v>10.76</v>
      </c>
      <c r="F131" s="75">
        <v>-2.3980000000000001</v>
      </c>
      <c r="G131" s="75">
        <v>-2.4980000000000002</v>
      </c>
      <c r="H131" s="105">
        <v>-2.5129999999999999</v>
      </c>
      <c r="I131" s="104">
        <v>11.14</v>
      </c>
      <c r="J131" s="75">
        <v>11.14</v>
      </c>
      <c r="K131" s="75">
        <v>11.06</v>
      </c>
      <c r="L131" s="75">
        <v>-7.3079999999999998</v>
      </c>
      <c r="M131" s="75">
        <v>-8.1300000000000008</v>
      </c>
      <c r="N131" s="105">
        <v>-9.5399999999999991</v>
      </c>
      <c r="O131" s="104">
        <v>26.74</v>
      </c>
      <c r="P131" s="75">
        <v>26.67</v>
      </c>
      <c r="Q131" s="75">
        <v>26.73</v>
      </c>
      <c r="R131" s="75">
        <v>-1.7270000000000001</v>
      </c>
      <c r="S131" s="75">
        <v>-1.6479999999999999</v>
      </c>
      <c r="T131" s="105">
        <v>-2.0499999999999998</v>
      </c>
      <c r="U131" s="104">
        <v>26.69</v>
      </c>
      <c r="V131" s="75">
        <v>26.57</v>
      </c>
      <c r="W131" s="75">
        <v>26.63</v>
      </c>
      <c r="X131" s="75">
        <v>-1.911</v>
      </c>
      <c r="Y131" s="75">
        <v>-3.0609999999999999</v>
      </c>
      <c r="Z131" s="105">
        <v>-3.3889999999999998</v>
      </c>
      <c r="AA131" s="104">
        <v>10.74</v>
      </c>
      <c r="AB131" s="75">
        <v>10.68</v>
      </c>
      <c r="AC131" s="75">
        <v>10.52</v>
      </c>
      <c r="AD131" s="75">
        <v>-0.88600000000000001</v>
      </c>
      <c r="AE131" s="75">
        <v>-0.438</v>
      </c>
      <c r="AF131" s="105">
        <v>-0.39400000000000002</v>
      </c>
    </row>
    <row r="132" spans="2:32" x14ac:dyDescent="0.3">
      <c r="B132" s="111">
        <v>21.166666666666679</v>
      </c>
      <c r="C132" s="104">
        <v>10.86</v>
      </c>
      <c r="D132" s="75">
        <v>10.83</v>
      </c>
      <c r="E132" s="75">
        <v>10.69</v>
      </c>
      <c r="F132" s="75">
        <v>-2.23</v>
      </c>
      <c r="G132" s="75">
        <v>-2.665</v>
      </c>
      <c r="H132" s="105">
        <v>-2.569</v>
      </c>
      <c r="I132" s="104">
        <v>11.11</v>
      </c>
      <c r="J132" s="75">
        <v>11.09</v>
      </c>
      <c r="K132" s="75">
        <v>11.02</v>
      </c>
      <c r="L132" s="75">
        <v>-8.35</v>
      </c>
      <c r="M132" s="75">
        <v>-8.76</v>
      </c>
      <c r="N132" s="105">
        <v>-10.19</v>
      </c>
      <c r="O132" s="104">
        <v>26.64</v>
      </c>
      <c r="P132" s="75">
        <v>26.59</v>
      </c>
      <c r="Q132" s="75">
        <v>26.66</v>
      </c>
      <c r="R132" s="75">
        <v>-1.4850000000000001</v>
      </c>
      <c r="S132" s="75">
        <v>-1.665</v>
      </c>
      <c r="T132" s="105">
        <v>-2.0419999999999998</v>
      </c>
      <c r="U132" s="104">
        <v>26.61</v>
      </c>
      <c r="V132" s="75">
        <v>26.49</v>
      </c>
      <c r="W132" s="75">
        <v>26.56</v>
      </c>
      <c r="X132" s="75">
        <v>-1.823</v>
      </c>
      <c r="Y132" s="75">
        <v>-2.6179999999999999</v>
      </c>
      <c r="Z132" s="105">
        <v>-3.2290000000000001</v>
      </c>
      <c r="AA132" s="104">
        <v>10.68</v>
      </c>
      <c r="AB132" s="75">
        <v>10.6</v>
      </c>
      <c r="AC132" s="75">
        <v>10.45</v>
      </c>
      <c r="AD132" s="75">
        <v>-0.71299999999999997</v>
      </c>
      <c r="AE132" s="75">
        <v>-0.61199999999999999</v>
      </c>
      <c r="AF132" s="105">
        <v>-0.55700000000000005</v>
      </c>
    </row>
    <row r="133" spans="2:32" x14ac:dyDescent="0.3">
      <c r="B133" s="111">
        <v>21.333333333333346</v>
      </c>
      <c r="C133" s="104">
        <v>10.78</v>
      </c>
      <c r="D133" s="75">
        <v>10.75</v>
      </c>
      <c r="E133" s="75">
        <v>10.61</v>
      </c>
      <c r="F133" s="75">
        <v>-2.4020000000000001</v>
      </c>
      <c r="G133" s="75">
        <v>-2.589</v>
      </c>
      <c r="H133" s="105">
        <v>-2.5350000000000001</v>
      </c>
      <c r="I133" s="104">
        <v>11.07</v>
      </c>
      <c r="J133" s="75">
        <v>11.06</v>
      </c>
      <c r="K133" s="75">
        <v>10.97</v>
      </c>
      <c r="L133" s="75">
        <v>-8.9600000000000009</v>
      </c>
      <c r="M133" s="75">
        <v>-9.6999999999999993</v>
      </c>
      <c r="N133" s="105">
        <v>-10.629</v>
      </c>
      <c r="O133" s="104">
        <v>26.57</v>
      </c>
      <c r="P133" s="75">
        <v>26.52</v>
      </c>
      <c r="Q133" s="75">
        <v>26.58</v>
      </c>
      <c r="R133" s="75">
        <v>-1.482</v>
      </c>
      <c r="S133" s="75">
        <v>-1.659</v>
      </c>
      <c r="T133" s="105">
        <v>-1.986</v>
      </c>
      <c r="U133" s="104">
        <v>26.54</v>
      </c>
      <c r="V133" s="75">
        <v>26.42</v>
      </c>
      <c r="W133" s="75">
        <v>26.49</v>
      </c>
      <c r="X133" s="75">
        <v>-1.536</v>
      </c>
      <c r="Y133" s="75">
        <v>-2.085</v>
      </c>
      <c r="Z133" s="105">
        <v>-3.0550000000000002</v>
      </c>
      <c r="AA133" s="104">
        <v>10.6</v>
      </c>
      <c r="AB133" s="75">
        <v>10.52</v>
      </c>
      <c r="AC133" s="75">
        <v>10.38</v>
      </c>
      <c r="AD133" s="75">
        <v>-0.81799999999999995</v>
      </c>
      <c r="AE133" s="75">
        <v>-0.54900000000000004</v>
      </c>
      <c r="AF133" s="105">
        <v>-0.4</v>
      </c>
    </row>
    <row r="134" spans="2:32" x14ac:dyDescent="0.3">
      <c r="B134" s="111">
        <v>21.500000000000014</v>
      </c>
      <c r="C134" s="104">
        <v>10.71</v>
      </c>
      <c r="D134" s="75">
        <v>10.68</v>
      </c>
      <c r="E134" s="75">
        <v>10.58</v>
      </c>
      <c r="F134" s="75">
        <v>-2.3330000000000002</v>
      </c>
      <c r="G134" s="75">
        <v>-2.6560000000000001</v>
      </c>
      <c r="H134" s="105">
        <v>-2.5459999999999998</v>
      </c>
      <c r="I134" s="104">
        <v>11.03</v>
      </c>
      <c r="J134" s="75">
        <v>11.01</v>
      </c>
      <c r="K134" s="75">
        <v>10.96</v>
      </c>
      <c r="L134" s="75">
        <v>-9.83</v>
      </c>
      <c r="M134" s="75">
        <v>-10.25</v>
      </c>
      <c r="N134" s="105">
        <v>-10.91</v>
      </c>
      <c r="O134" s="104">
        <v>26.48</v>
      </c>
      <c r="P134" s="75">
        <v>26.44</v>
      </c>
      <c r="Q134" s="75">
        <v>26.52</v>
      </c>
      <c r="R134" s="75">
        <v>-1.823</v>
      </c>
      <c r="S134" s="75">
        <v>-1.5740000000000001</v>
      </c>
      <c r="T134" s="105">
        <v>-1.9219999999999999</v>
      </c>
      <c r="U134" s="104">
        <v>26.5</v>
      </c>
      <c r="V134" s="75">
        <v>26.34</v>
      </c>
      <c r="W134" s="75">
        <v>26.42</v>
      </c>
      <c r="X134" s="75">
        <v>-1.8169999999999999</v>
      </c>
      <c r="Y134" s="75">
        <v>-2.62</v>
      </c>
      <c r="Z134" s="105">
        <v>-3.2309999999999999</v>
      </c>
      <c r="AA134" s="104">
        <v>10.53</v>
      </c>
      <c r="AB134" s="75">
        <v>10.45</v>
      </c>
      <c r="AC134" s="75">
        <v>10.34</v>
      </c>
      <c r="AD134" s="75">
        <v>-0.80800000000000005</v>
      </c>
      <c r="AE134" s="75">
        <v>-0.59799999999999998</v>
      </c>
      <c r="AF134" s="105">
        <v>-0.40400000000000003</v>
      </c>
    </row>
    <row r="135" spans="2:32" x14ac:dyDescent="0.3">
      <c r="B135" s="111">
        <v>21.666666666666682</v>
      </c>
      <c r="C135" s="104">
        <v>10.66</v>
      </c>
      <c r="D135" s="75">
        <v>10.61</v>
      </c>
      <c r="E135" s="75">
        <v>10.56</v>
      </c>
      <c r="F135" s="75">
        <v>-2.0979999999999999</v>
      </c>
      <c r="G135" s="75">
        <v>-2.835</v>
      </c>
      <c r="H135" s="105">
        <v>-2.339</v>
      </c>
      <c r="I135" s="104">
        <v>10.99</v>
      </c>
      <c r="J135" s="75">
        <v>10.97</v>
      </c>
      <c r="K135" s="75">
        <v>10.94</v>
      </c>
      <c r="L135" s="75">
        <v>-10.51</v>
      </c>
      <c r="M135" s="75">
        <v>-11.05</v>
      </c>
      <c r="N135" s="105">
        <v>-11.27</v>
      </c>
      <c r="O135" s="104">
        <v>26.41</v>
      </c>
      <c r="P135" s="75">
        <v>26.36</v>
      </c>
      <c r="Q135" s="75">
        <v>26.44</v>
      </c>
      <c r="R135" s="75">
        <v>-1.476</v>
      </c>
      <c r="S135" s="75">
        <v>-1.6459999999999999</v>
      </c>
      <c r="T135" s="105">
        <v>-2.0169999999999999</v>
      </c>
      <c r="U135" s="104">
        <v>26.39</v>
      </c>
      <c r="V135" s="75">
        <v>26.27</v>
      </c>
      <c r="W135" s="75">
        <v>26.35</v>
      </c>
      <c r="X135" s="75">
        <v>-1.845</v>
      </c>
      <c r="Y135" s="75">
        <v>-2.4729999999999999</v>
      </c>
      <c r="Z135" s="105">
        <v>-2.8490000000000002</v>
      </c>
      <c r="AA135" s="104">
        <v>10.46</v>
      </c>
      <c r="AB135" s="75">
        <v>10.37</v>
      </c>
      <c r="AC135" s="75">
        <v>10.33</v>
      </c>
      <c r="AD135" s="75">
        <v>-0.48199999999999998</v>
      </c>
      <c r="AE135" s="75">
        <v>-0.78900000000000003</v>
      </c>
      <c r="AF135" s="105">
        <v>-0.66900000000000004</v>
      </c>
    </row>
    <row r="136" spans="2:32" x14ac:dyDescent="0.3">
      <c r="B136" s="111">
        <v>21.83333333333335</v>
      </c>
      <c r="C136" s="104">
        <v>10.6</v>
      </c>
      <c r="D136" s="75">
        <v>10.54</v>
      </c>
      <c r="E136" s="75">
        <v>10.5</v>
      </c>
      <c r="F136" s="75">
        <v>-2.3420000000000001</v>
      </c>
      <c r="G136" s="75">
        <v>-2.532</v>
      </c>
      <c r="H136" s="105">
        <v>-2.5680000000000001</v>
      </c>
      <c r="I136" s="104">
        <v>10.95</v>
      </c>
      <c r="J136" s="75">
        <v>10.93</v>
      </c>
      <c r="K136" s="75">
        <v>10.89</v>
      </c>
      <c r="L136" s="75">
        <v>-10.74</v>
      </c>
      <c r="M136" s="75">
        <v>-11.79</v>
      </c>
      <c r="N136" s="105">
        <v>-11.804</v>
      </c>
      <c r="O136" s="104">
        <v>26.34</v>
      </c>
      <c r="P136" s="75">
        <v>26.29</v>
      </c>
      <c r="Q136" s="75">
        <v>26.37</v>
      </c>
      <c r="R136" s="75">
        <v>-1.4730000000000001</v>
      </c>
      <c r="S136" s="75">
        <v>-1.64</v>
      </c>
      <c r="T136" s="105">
        <v>-2.0419999999999998</v>
      </c>
      <c r="U136" s="104">
        <v>26.32</v>
      </c>
      <c r="V136" s="75">
        <v>26.19</v>
      </c>
      <c r="W136" s="75">
        <v>26.28</v>
      </c>
      <c r="X136" s="75">
        <v>-1.8120000000000001</v>
      </c>
      <c r="Y136" s="75">
        <v>-2.6230000000000002</v>
      </c>
      <c r="Z136" s="105">
        <v>-3.234</v>
      </c>
      <c r="AA136" s="104">
        <v>10.4</v>
      </c>
      <c r="AB136" s="75">
        <v>10.3</v>
      </c>
      <c r="AC136" s="75">
        <v>10.26</v>
      </c>
      <c r="AD136" s="75">
        <v>-0.69599999999999995</v>
      </c>
      <c r="AE136" s="75">
        <v>-0.443</v>
      </c>
      <c r="AF136" s="105">
        <v>-0.41</v>
      </c>
    </row>
    <row r="137" spans="2:32" x14ac:dyDescent="0.3">
      <c r="B137" s="111">
        <v>22.000000000000018</v>
      </c>
      <c r="C137" s="104">
        <v>10.53</v>
      </c>
      <c r="D137" s="75">
        <v>10.47</v>
      </c>
      <c r="E137" s="75">
        <v>10.41</v>
      </c>
      <c r="F137" s="75">
        <v>-2.585</v>
      </c>
      <c r="G137" s="75">
        <v>-2.68</v>
      </c>
      <c r="H137" s="105">
        <v>-3.1520000000000001</v>
      </c>
      <c r="I137" s="104">
        <v>10.9</v>
      </c>
      <c r="J137" s="75">
        <v>10.88</v>
      </c>
      <c r="K137" s="75">
        <v>10.83</v>
      </c>
      <c r="L137" s="75">
        <v>-11.43</v>
      </c>
      <c r="M137" s="75">
        <v>-12.12</v>
      </c>
      <c r="N137" s="105">
        <v>-11.99</v>
      </c>
      <c r="O137" s="104">
        <v>26.28</v>
      </c>
      <c r="P137" s="75">
        <v>26.21</v>
      </c>
      <c r="Q137" s="75">
        <v>26.3</v>
      </c>
      <c r="R137" s="75">
        <v>-1.0669999999999999</v>
      </c>
      <c r="S137" s="75">
        <v>-1.113</v>
      </c>
      <c r="T137" s="105">
        <v>-1.9490000000000001</v>
      </c>
      <c r="U137" s="104">
        <v>26.26</v>
      </c>
      <c r="V137" s="75">
        <v>26.12</v>
      </c>
      <c r="W137" s="75">
        <v>26.21</v>
      </c>
      <c r="X137" s="75">
        <v>-1.7769999999999999</v>
      </c>
      <c r="Y137" s="75">
        <v>-2.4500000000000002</v>
      </c>
      <c r="Z137" s="105">
        <v>-3.8580000000000001</v>
      </c>
      <c r="AA137" s="104">
        <v>10.32</v>
      </c>
      <c r="AB137" s="75">
        <v>10.23</v>
      </c>
      <c r="AC137" s="75">
        <v>10.17</v>
      </c>
      <c r="AD137" s="75">
        <v>-0.80900000000000005</v>
      </c>
      <c r="AE137" s="75">
        <v>-0.56499999999999995</v>
      </c>
      <c r="AF137" s="105">
        <v>-0.99299999999999999</v>
      </c>
    </row>
    <row r="138" spans="2:32" x14ac:dyDescent="0.3">
      <c r="B138" s="111">
        <v>22.166666666666686</v>
      </c>
      <c r="C138" s="104">
        <v>10.45</v>
      </c>
      <c r="D138" s="75">
        <v>10.4</v>
      </c>
      <c r="E138" s="75">
        <v>10.32</v>
      </c>
      <c r="F138" s="75">
        <v>-2.7869999999999999</v>
      </c>
      <c r="G138" s="75">
        <v>-2.6859999999999999</v>
      </c>
      <c r="H138" s="105">
        <v>-3.1560000000000001</v>
      </c>
      <c r="I138" s="104">
        <v>10.85</v>
      </c>
      <c r="J138" s="75">
        <v>10.83</v>
      </c>
      <c r="K138" s="75">
        <v>10.77</v>
      </c>
      <c r="L138" s="75">
        <v>-12.12</v>
      </c>
      <c r="M138" s="75">
        <v>-12.8</v>
      </c>
      <c r="N138" s="105">
        <v>-13.21</v>
      </c>
      <c r="O138" s="104">
        <v>26.19</v>
      </c>
      <c r="P138" s="75">
        <v>26.13</v>
      </c>
      <c r="Q138" s="75">
        <v>26.23</v>
      </c>
      <c r="R138" s="75">
        <v>-1.4670000000000001</v>
      </c>
      <c r="S138" s="75">
        <v>-1.6279999999999999</v>
      </c>
      <c r="T138" s="105">
        <v>-1.893</v>
      </c>
      <c r="U138" s="104">
        <v>26.18</v>
      </c>
      <c r="V138" s="75">
        <v>26.05</v>
      </c>
      <c r="W138" s="75">
        <v>26.14</v>
      </c>
      <c r="X138" s="75">
        <v>-1.806</v>
      </c>
      <c r="Y138" s="75">
        <v>-2.625</v>
      </c>
      <c r="Z138" s="105">
        <v>-3.2360000000000002</v>
      </c>
      <c r="AA138" s="104">
        <v>10.24</v>
      </c>
      <c r="AB138" s="75">
        <v>10.16</v>
      </c>
      <c r="AC138" s="75">
        <v>10.07</v>
      </c>
      <c r="AD138" s="75">
        <v>-1.0249999999999999</v>
      </c>
      <c r="AE138" s="75">
        <v>-0.53300000000000003</v>
      </c>
      <c r="AF138" s="105">
        <v>-0.89100000000000001</v>
      </c>
    </row>
    <row r="139" spans="2:32" x14ac:dyDescent="0.3">
      <c r="B139" s="111">
        <v>22.333333333333353</v>
      </c>
      <c r="C139" s="104">
        <v>10.37</v>
      </c>
      <c r="D139" s="75">
        <v>10.33</v>
      </c>
      <c r="E139" s="75">
        <v>10.23</v>
      </c>
      <c r="F139" s="75">
        <v>-2.778</v>
      </c>
      <c r="G139" s="75">
        <v>-2.7930000000000001</v>
      </c>
      <c r="H139" s="105">
        <v>-3.1</v>
      </c>
      <c r="I139" s="104">
        <v>10.8</v>
      </c>
      <c r="J139" s="75">
        <v>10.79</v>
      </c>
      <c r="K139" s="75">
        <v>10.72</v>
      </c>
      <c r="L139" s="75">
        <v>-12.91</v>
      </c>
      <c r="M139" s="75">
        <v>-13.34</v>
      </c>
      <c r="N139" s="105">
        <v>-13.74</v>
      </c>
      <c r="O139" s="104">
        <v>26.11</v>
      </c>
      <c r="P139" s="75">
        <v>26.07</v>
      </c>
      <c r="Q139" s="75">
        <v>26.16</v>
      </c>
      <c r="R139" s="75">
        <v>-1.4630000000000001</v>
      </c>
      <c r="S139" s="75">
        <v>-1.6220000000000001</v>
      </c>
      <c r="T139" s="105">
        <v>-2.0249999999999999</v>
      </c>
      <c r="U139" s="104">
        <v>26.1</v>
      </c>
      <c r="V139" s="75">
        <v>25.99</v>
      </c>
      <c r="W139" s="75">
        <v>26.07</v>
      </c>
      <c r="X139" s="75">
        <v>-1.331</v>
      </c>
      <c r="Y139" s="75">
        <v>-2.1880000000000002</v>
      </c>
      <c r="Z139" s="105">
        <v>-3.2389999999999999</v>
      </c>
      <c r="AA139" s="104">
        <v>10.16</v>
      </c>
      <c r="AB139" s="75">
        <v>10.09</v>
      </c>
      <c r="AC139" s="75">
        <v>9.99</v>
      </c>
      <c r="AD139" s="75">
        <v>-1.024</v>
      </c>
      <c r="AE139" s="75">
        <v>-0.61699999999999999</v>
      </c>
      <c r="AF139" s="105">
        <v>-0.96599999999999997</v>
      </c>
    </row>
    <row r="140" spans="2:32" x14ac:dyDescent="0.3">
      <c r="B140" s="111">
        <v>22.500000000000021</v>
      </c>
      <c r="C140" s="104">
        <v>10.3</v>
      </c>
      <c r="D140" s="75">
        <v>10.26</v>
      </c>
      <c r="E140" s="75">
        <v>10.130000000000001</v>
      </c>
      <c r="F140" s="75">
        <v>-2.774</v>
      </c>
      <c r="G140" s="75">
        <v>-2.7669999999999999</v>
      </c>
      <c r="H140" s="105">
        <v>-3.4350000000000001</v>
      </c>
      <c r="I140" s="104">
        <v>10.76</v>
      </c>
      <c r="J140" s="75">
        <v>10.74</v>
      </c>
      <c r="K140" s="75">
        <v>10.64</v>
      </c>
      <c r="L140" s="75">
        <v>-13.47</v>
      </c>
      <c r="M140" s="75">
        <v>-13.89</v>
      </c>
      <c r="N140" s="105">
        <v>-14.43</v>
      </c>
      <c r="O140" s="104">
        <v>26.07</v>
      </c>
      <c r="P140" s="75">
        <v>26</v>
      </c>
      <c r="Q140" s="75">
        <v>26.08</v>
      </c>
      <c r="R140" s="75">
        <v>-1.3180000000000001</v>
      </c>
      <c r="S140" s="75">
        <v>-2.1549999999999998</v>
      </c>
      <c r="T140" s="105">
        <v>-2.069</v>
      </c>
      <c r="U140" s="104">
        <v>26.01</v>
      </c>
      <c r="V140" s="75">
        <v>25.93</v>
      </c>
      <c r="W140" s="75">
        <v>26</v>
      </c>
      <c r="X140" s="75">
        <v>-1.8</v>
      </c>
      <c r="Y140" s="75">
        <v>-2.6269999999999998</v>
      </c>
      <c r="Z140" s="105">
        <v>-3.238</v>
      </c>
      <c r="AA140" s="104">
        <v>10.08</v>
      </c>
      <c r="AB140" s="75">
        <v>10.02</v>
      </c>
      <c r="AC140" s="75">
        <v>9.8800000000000008</v>
      </c>
      <c r="AD140" s="75">
        <v>-0.874</v>
      </c>
      <c r="AE140" s="75">
        <v>-0.57499999999999996</v>
      </c>
      <c r="AF140" s="105">
        <v>-1.1459999999999999</v>
      </c>
    </row>
    <row r="141" spans="2:32" x14ac:dyDescent="0.3">
      <c r="B141" s="111">
        <v>22.666666666666689</v>
      </c>
      <c r="C141" s="104">
        <v>10.23</v>
      </c>
      <c r="D141" s="75">
        <v>10.17</v>
      </c>
      <c r="E141" s="75">
        <v>10.039999999999999</v>
      </c>
      <c r="F141" s="75">
        <v>-2.718</v>
      </c>
      <c r="G141" s="75">
        <v>-3.0249999999999999</v>
      </c>
      <c r="H141" s="105">
        <v>-3.169</v>
      </c>
      <c r="I141" s="104">
        <v>10.71</v>
      </c>
      <c r="J141" s="75">
        <v>10.68</v>
      </c>
      <c r="K141" s="75">
        <v>10.58</v>
      </c>
      <c r="L141" s="75">
        <v>-13.9</v>
      </c>
      <c r="M141" s="75">
        <v>-14.32</v>
      </c>
      <c r="N141" s="105">
        <v>-15.37</v>
      </c>
      <c r="O141" s="104">
        <v>25.96</v>
      </c>
      <c r="P141" s="75">
        <v>25.94</v>
      </c>
      <c r="Q141" s="75">
        <v>26.01</v>
      </c>
      <c r="R141" s="75">
        <v>-1.4570000000000001</v>
      </c>
      <c r="S141" s="75">
        <v>-1.609</v>
      </c>
      <c r="T141" s="105">
        <v>-1.9750000000000001</v>
      </c>
      <c r="U141" s="104">
        <v>25.96</v>
      </c>
      <c r="V141" s="75">
        <v>25.87</v>
      </c>
      <c r="W141" s="75">
        <v>25.93</v>
      </c>
      <c r="X141" s="75">
        <v>-2.1989999999999998</v>
      </c>
      <c r="Y141" s="75">
        <v>-2.395</v>
      </c>
      <c r="Z141" s="105">
        <v>-2.9220000000000002</v>
      </c>
      <c r="AA141" s="104">
        <v>10</v>
      </c>
      <c r="AB141" s="75">
        <v>9.93</v>
      </c>
      <c r="AC141" s="75">
        <v>9.7899999999999991</v>
      </c>
      <c r="AD141" s="75">
        <v>-0.82399999999999995</v>
      </c>
      <c r="AE141" s="75">
        <v>-0.83699999999999997</v>
      </c>
      <c r="AF141" s="105">
        <v>-0.96299999999999997</v>
      </c>
    </row>
    <row r="142" spans="2:32" x14ac:dyDescent="0.3">
      <c r="B142" s="111">
        <v>22.833333333333357</v>
      </c>
      <c r="C142" s="104">
        <v>10.15</v>
      </c>
      <c r="D142" s="75">
        <v>10.1</v>
      </c>
      <c r="E142" s="75">
        <v>9.9600000000000009</v>
      </c>
      <c r="F142" s="75">
        <v>-2.9870000000000001</v>
      </c>
      <c r="G142" s="75">
        <v>-2.931</v>
      </c>
      <c r="H142" s="105">
        <v>-3.04</v>
      </c>
      <c r="I142" s="104">
        <v>10.65</v>
      </c>
      <c r="J142" s="75">
        <v>10.62</v>
      </c>
      <c r="K142" s="75">
        <v>10.53</v>
      </c>
      <c r="L142" s="75">
        <v>-14.38</v>
      </c>
      <c r="M142" s="75">
        <v>-15.15</v>
      </c>
      <c r="N142" s="105">
        <v>-15.76</v>
      </c>
      <c r="O142" s="104">
        <v>25.89</v>
      </c>
      <c r="P142" s="75">
        <v>25.87</v>
      </c>
      <c r="Q142" s="75">
        <v>25.94</v>
      </c>
      <c r="R142" s="75">
        <v>-1.454</v>
      </c>
      <c r="S142" s="75">
        <v>-1.603</v>
      </c>
      <c r="T142" s="105">
        <v>-2.0670000000000002</v>
      </c>
      <c r="U142" s="104">
        <v>25.88</v>
      </c>
      <c r="V142" s="75">
        <v>25.81</v>
      </c>
      <c r="W142" s="75">
        <v>25.86</v>
      </c>
      <c r="X142" s="75">
        <v>-1.7949999999999999</v>
      </c>
      <c r="Y142" s="75">
        <v>-2.63</v>
      </c>
      <c r="Z142" s="105">
        <v>-3.2410000000000001</v>
      </c>
      <c r="AA142" s="104">
        <v>9.92</v>
      </c>
      <c r="AB142" s="75">
        <v>9.85</v>
      </c>
      <c r="AC142" s="75">
        <v>9.7100000000000009</v>
      </c>
      <c r="AD142" s="75">
        <v>-1.0329999999999999</v>
      </c>
      <c r="AE142" s="75">
        <v>-0.71499999999999997</v>
      </c>
      <c r="AF142" s="105">
        <v>-0.76800000000000002</v>
      </c>
    </row>
    <row r="143" spans="2:32" x14ac:dyDescent="0.3">
      <c r="B143" s="111">
        <v>23.000000000000025</v>
      </c>
      <c r="C143" s="104">
        <v>10.07</v>
      </c>
      <c r="D143" s="75">
        <v>10.02</v>
      </c>
      <c r="E143" s="75">
        <v>9.89</v>
      </c>
      <c r="F143" s="75">
        <v>-2.8340000000000001</v>
      </c>
      <c r="G143" s="75">
        <v>-2.8610000000000002</v>
      </c>
      <c r="H143" s="105">
        <v>-2.871</v>
      </c>
      <c r="I143" s="104">
        <v>10.59</v>
      </c>
      <c r="J143" s="75">
        <v>10.57</v>
      </c>
      <c r="K143" s="75">
        <v>10.47</v>
      </c>
      <c r="L143" s="75">
        <v>-15.13</v>
      </c>
      <c r="M143" s="75">
        <v>-15.59</v>
      </c>
      <c r="N143" s="105">
        <v>-16.04</v>
      </c>
      <c r="O143" s="104">
        <v>25.85</v>
      </c>
      <c r="P143" s="75">
        <v>25.8</v>
      </c>
      <c r="Q143" s="75">
        <v>25.87</v>
      </c>
      <c r="R143" s="75">
        <v>-1.825</v>
      </c>
      <c r="S143" s="75">
        <v>-1.89</v>
      </c>
      <c r="T143" s="105">
        <v>-2.234</v>
      </c>
      <c r="U143" s="104">
        <v>25.8</v>
      </c>
      <c r="V143" s="75">
        <v>25.74</v>
      </c>
      <c r="W143" s="75">
        <v>25.79</v>
      </c>
      <c r="X143" s="75">
        <v>-1.6439999999999999</v>
      </c>
      <c r="Y143" s="75">
        <v>-2.153</v>
      </c>
      <c r="Z143" s="105">
        <v>-2.9809999999999999</v>
      </c>
      <c r="AA143" s="104">
        <v>9.84</v>
      </c>
      <c r="AB143" s="75">
        <v>9.7799999999999994</v>
      </c>
      <c r="AC143" s="75">
        <v>9.64</v>
      </c>
      <c r="AD143" s="75">
        <v>-0.85399999999999998</v>
      </c>
      <c r="AE143" s="75">
        <v>-0.57799999999999996</v>
      </c>
      <c r="AF143" s="105">
        <v>-0.56899999999999995</v>
      </c>
    </row>
    <row r="144" spans="2:32" x14ac:dyDescent="0.3">
      <c r="B144" s="111">
        <v>23.166666666666693</v>
      </c>
      <c r="C144" s="104">
        <v>9.99</v>
      </c>
      <c r="D144" s="75">
        <v>9.94</v>
      </c>
      <c r="E144" s="75">
        <v>9.82</v>
      </c>
      <c r="F144" s="75">
        <v>-2.89</v>
      </c>
      <c r="G144" s="75">
        <v>-2.956</v>
      </c>
      <c r="H144" s="105">
        <v>-2.6419999999999999</v>
      </c>
      <c r="I144" s="104">
        <v>10.54</v>
      </c>
      <c r="J144" s="75">
        <v>10.5</v>
      </c>
      <c r="K144" s="75">
        <v>10.41</v>
      </c>
      <c r="L144" s="75">
        <v>-15.48</v>
      </c>
      <c r="M144" s="75">
        <v>-15.83</v>
      </c>
      <c r="N144" s="105">
        <v>-16.21</v>
      </c>
      <c r="O144" s="104">
        <v>25.73</v>
      </c>
      <c r="P144" s="75">
        <v>25.72</v>
      </c>
      <c r="Q144" s="75">
        <v>25.77</v>
      </c>
      <c r="R144" s="75">
        <v>-1.448</v>
      </c>
      <c r="S144" s="75">
        <v>-1.591</v>
      </c>
      <c r="T144" s="105">
        <v>-2.3159999999999998</v>
      </c>
      <c r="U144" s="104">
        <v>25.74</v>
      </c>
      <c r="V144" s="75">
        <v>25.67</v>
      </c>
      <c r="W144" s="75">
        <v>25.71</v>
      </c>
      <c r="X144" s="75">
        <v>-1.7889999999999999</v>
      </c>
      <c r="Y144" s="75">
        <v>-2.6320000000000001</v>
      </c>
      <c r="Z144" s="105">
        <v>-3.2429999999999999</v>
      </c>
      <c r="AA144" s="104">
        <v>9.76</v>
      </c>
      <c r="AB144" s="75">
        <v>9.69</v>
      </c>
      <c r="AC144" s="75">
        <v>9.57</v>
      </c>
      <c r="AD144" s="75">
        <v>-0.878</v>
      </c>
      <c r="AE144" s="75">
        <v>-0.746</v>
      </c>
      <c r="AF144" s="105">
        <v>-0.39700000000000002</v>
      </c>
    </row>
    <row r="145" spans="2:32" x14ac:dyDescent="0.3">
      <c r="B145" s="111">
        <v>23.333333333333361</v>
      </c>
      <c r="C145" s="104">
        <v>9.91</v>
      </c>
      <c r="D145" s="75">
        <v>9.8699999999999992</v>
      </c>
      <c r="E145" s="75">
        <v>9.74</v>
      </c>
      <c r="F145" s="75">
        <v>-2.8769999999999998</v>
      </c>
      <c r="G145" s="75">
        <v>-2.7</v>
      </c>
      <c r="H145" s="105">
        <v>-2.867</v>
      </c>
      <c r="I145" s="104">
        <v>10.48</v>
      </c>
      <c r="J145" s="75">
        <v>10.45</v>
      </c>
      <c r="K145" s="75">
        <v>10.35</v>
      </c>
      <c r="L145" s="75">
        <v>-15.95</v>
      </c>
      <c r="M145" s="75">
        <v>-16.329999999999998</v>
      </c>
      <c r="N145" s="105">
        <v>-16.28</v>
      </c>
      <c r="O145" s="104">
        <v>25.66</v>
      </c>
      <c r="P145" s="75">
        <v>25.65</v>
      </c>
      <c r="Q145" s="75">
        <v>25.69</v>
      </c>
      <c r="R145" s="75">
        <v>-1.4450000000000001</v>
      </c>
      <c r="S145" s="75">
        <v>-1.585</v>
      </c>
      <c r="T145" s="105">
        <v>-2.25</v>
      </c>
      <c r="U145" s="104">
        <v>25.67</v>
      </c>
      <c r="V145" s="75">
        <v>25.6</v>
      </c>
      <c r="W145" s="75">
        <v>25.62</v>
      </c>
      <c r="X145" s="75">
        <v>-2.016</v>
      </c>
      <c r="Y145" s="75">
        <v>-3.105</v>
      </c>
      <c r="Z145" s="105">
        <v>-3.0569999999999999</v>
      </c>
      <c r="AA145" s="104">
        <v>9.68</v>
      </c>
      <c r="AB145" s="75">
        <v>9.6199999999999992</v>
      </c>
      <c r="AC145" s="75">
        <v>9.49</v>
      </c>
      <c r="AD145" s="75">
        <v>-0.876</v>
      </c>
      <c r="AE145" s="75">
        <v>-0.39100000000000001</v>
      </c>
      <c r="AF145" s="105">
        <v>-0.499</v>
      </c>
    </row>
    <row r="146" spans="2:32" x14ac:dyDescent="0.3">
      <c r="B146" s="111">
        <v>23.500000000000028</v>
      </c>
      <c r="C146" s="104">
        <v>9.85</v>
      </c>
      <c r="D146" s="75">
        <v>9.8000000000000007</v>
      </c>
      <c r="E146" s="75">
        <v>9.67</v>
      </c>
      <c r="F146" s="75">
        <v>-2.7269999999999999</v>
      </c>
      <c r="G146" s="75">
        <v>-2.7250000000000001</v>
      </c>
      <c r="H146" s="105">
        <v>-2.8730000000000002</v>
      </c>
      <c r="I146" s="104">
        <v>10.42</v>
      </c>
      <c r="J146" s="75">
        <v>10.39</v>
      </c>
      <c r="K146" s="75">
        <v>10.28</v>
      </c>
      <c r="L146" s="75">
        <v>-16.27</v>
      </c>
      <c r="M146" s="75">
        <v>-16.21</v>
      </c>
      <c r="N146" s="105">
        <v>-16.54</v>
      </c>
      <c r="O146" s="104">
        <v>25.62</v>
      </c>
      <c r="P146" s="75">
        <v>25.58</v>
      </c>
      <c r="Q146" s="75">
        <v>25.62</v>
      </c>
      <c r="R146" s="75">
        <v>-1.3759999999999999</v>
      </c>
      <c r="S146" s="75">
        <v>-1.0149999999999999</v>
      </c>
      <c r="T146" s="105">
        <v>-2.2309999999999999</v>
      </c>
      <c r="U146" s="104">
        <v>25.61</v>
      </c>
      <c r="V146" s="75">
        <v>25.53</v>
      </c>
      <c r="W146" s="75">
        <v>25.55</v>
      </c>
      <c r="X146" s="75">
        <v>-1.7829999999999999</v>
      </c>
      <c r="Y146" s="75">
        <v>-2.6339999999999999</v>
      </c>
      <c r="Z146" s="105">
        <v>-3.2450000000000001</v>
      </c>
      <c r="AA146" s="104">
        <v>9.61</v>
      </c>
      <c r="AB146" s="75">
        <v>9.5500000000000007</v>
      </c>
      <c r="AC146" s="75">
        <v>9.41</v>
      </c>
      <c r="AD146" s="75">
        <v>-0.67400000000000004</v>
      </c>
      <c r="AE146" s="75">
        <v>-0.437</v>
      </c>
      <c r="AF146" s="105">
        <v>-0.51700000000000002</v>
      </c>
    </row>
    <row r="147" spans="2:32" x14ac:dyDescent="0.3">
      <c r="B147" s="111">
        <v>23.666666666666696</v>
      </c>
      <c r="C147" s="104">
        <v>9.7799999999999994</v>
      </c>
      <c r="D147" s="75">
        <v>9.74</v>
      </c>
      <c r="E147" s="75">
        <v>9.6</v>
      </c>
      <c r="F147" s="75">
        <v>-2.6659999999999999</v>
      </c>
      <c r="G147" s="75">
        <v>-2.532</v>
      </c>
      <c r="H147" s="105">
        <v>-2.8290000000000002</v>
      </c>
      <c r="I147" s="104">
        <v>10.36</v>
      </c>
      <c r="J147" s="75">
        <v>10.33</v>
      </c>
      <c r="K147" s="75">
        <v>10.220000000000001</v>
      </c>
      <c r="L147" s="75">
        <v>-16.25</v>
      </c>
      <c r="M147" s="75">
        <v>-16.46</v>
      </c>
      <c r="N147" s="105">
        <v>-16.63</v>
      </c>
      <c r="O147" s="104">
        <v>25.51</v>
      </c>
      <c r="P147" s="75">
        <v>25.5</v>
      </c>
      <c r="Q147" s="75">
        <v>25.55</v>
      </c>
      <c r="R147" s="75">
        <v>-1.4390000000000001</v>
      </c>
      <c r="S147" s="75">
        <v>-1.5720000000000001</v>
      </c>
      <c r="T147" s="105">
        <v>-2.0659999999999998</v>
      </c>
      <c r="U147" s="104">
        <v>25.52</v>
      </c>
      <c r="V147" s="75">
        <v>25.45</v>
      </c>
      <c r="W147" s="75">
        <v>25.48</v>
      </c>
      <c r="X147" s="75">
        <v>-1.996</v>
      </c>
      <c r="Y147" s="75">
        <v>-2.996</v>
      </c>
      <c r="Z147" s="105">
        <v>-3.2709999999999999</v>
      </c>
      <c r="AA147" s="104">
        <v>9.5399999999999991</v>
      </c>
      <c r="AB147" s="75">
        <v>9.49</v>
      </c>
      <c r="AC147" s="75">
        <v>9.34</v>
      </c>
      <c r="AD147" s="75">
        <v>-0.58599999999999997</v>
      </c>
      <c r="AE147" s="75">
        <v>-0.27100000000000002</v>
      </c>
      <c r="AF147" s="105">
        <v>-0.51700000000000002</v>
      </c>
    </row>
    <row r="148" spans="2:32" x14ac:dyDescent="0.3">
      <c r="B148" s="111">
        <v>23.833333333333364</v>
      </c>
      <c r="C148" s="104">
        <v>9.7100000000000009</v>
      </c>
      <c r="D148" s="75">
        <v>9.67</v>
      </c>
      <c r="E148" s="75">
        <v>9.5299999999999994</v>
      </c>
      <c r="F148" s="75">
        <v>-2.6240000000000001</v>
      </c>
      <c r="G148" s="75">
        <v>-2.71</v>
      </c>
      <c r="H148" s="105">
        <v>-2.7410000000000001</v>
      </c>
      <c r="I148" s="104">
        <v>10.3</v>
      </c>
      <c r="J148" s="75">
        <v>10.26</v>
      </c>
      <c r="K148" s="75">
        <v>10.14</v>
      </c>
      <c r="L148" s="75">
        <v>-16.399999999999999</v>
      </c>
      <c r="M148" s="75">
        <v>-16.329999999999998</v>
      </c>
      <c r="N148" s="105">
        <v>-16.63</v>
      </c>
      <c r="O148" s="104">
        <v>25.43</v>
      </c>
      <c r="P148" s="75">
        <v>25.43</v>
      </c>
      <c r="Q148" s="75">
        <v>25.47</v>
      </c>
      <c r="R148" s="75">
        <v>-1.4359999999999999</v>
      </c>
      <c r="S148" s="75">
        <v>-1.5660000000000001</v>
      </c>
      <c r="T148" s="105">
        <v>-1.9870000000000001</v>
      </c>
      <c r="U148" s="104">
        <v>25.45</v>
      </c>
      <c r="V148" s="75">
        <v>25.39</v>
      </c>
      <c r="W148" s="75">
        <v>25.41</v>
      </c>
      <c r="X148" s="75">
        <v>-1.7769999999999999</v>
      </c>
      <c r="Y148" s="75">
        <v>-2.637</v>
      </c>
      <c r="Z148" s="105">
        <v>-3.2480000000000002</v>
      </c>
      <c r="AA148" s="104">
        <v>9.4700000000000006</v>
      </c>
      <c r="AB148" s="75">
        <v>9.42</v>
      </c>
      <c r="AC148" s="75">
        <v>9.27</v>
      </c>
      <c r="AD148" s="75">
        <v>-0.57099999999999995</v>
      </c>
      <c r="AE148" s="75">
        <v>-0.40799999999999997</v>
      </c>
      <c r="AF148" s="105">
        <v>-0.41</v>
      </c>
    </row>
    <row r="149" spans="2:32" x14ac:dyDescent="0.3">
      <c r="B149" s="111">
        <v>24.000000000000032</v>
      </c>
      <c r="C149" s="104">
        <v>9.64</v>
      </c>
      <c r="D149" s="75">
        <v>9.6</v>
      </c>
      <c r="E149" s="75">
        <v>9.4600000000000009</v>
      </c>
      <c r="F149" s="75">
        <v>-2.6949999999999998</v>
      </c>
      <c r="G149" s="75">
        <v>-2.7530000000000001</v>
      </c>
      <c r="H149" s="105">
        <v>-2.65</v>
      </c>
      <c r="I149" s="104">
        <v>10.23</v>
      </c>
      <c r="J149" s="75">
        <v>10.19</v>
      </c>
      <c r="K149" s="75">
        <v>10.08</v>
      </c>
      <c r="L149" s="75">
        <v>-16.41</v>
      </c>
      <c r="M149" s="75">
        <v>-16.62</v>
      </c>
      <c r="N149" s="105">
        <v>-16.489999999999998</v>
      </c>
      <c r="O149" s="104">
        <v>25.38</v>
      </c>
      <c r="P149" s="75">
        <v>25.37</v>
      </c>
      <c r="Q149" s="75">
        <v>25.4</v>
      </c>
      <c r="R149" s="75">
        <v>-1.4379999999999999</v>
      </c>
      <c r="S149" s="75">
        <v>-1.4330000000000001</v>
      </c>
      <c r="T149" s="105">
        <v>-2.0760000000000001</v>
      </c>
      <c r="U149" s="104">
        <v>25.37</v>
      </c>
      <c r="V149" s="75">
        <v>25.32</v>
      </c>
      <c r="W149" s="75">
        <v>25.34</v>
      </c>
      <c r="X149" s="75">
        <v>-2.1379999999999999</v>
      </c>
      <c r="Y149" s="75">
        <v>-2.6150000000000002</v>
      </c>
      <c r="Z149" s="105">
        <v>-3.1850000000000001</v>
      </c>
      <c r="AA149" s="104">
        <v>9.39</v>
      </c>
      <c r="AB149" s="75">
        <v>9.35</v>
      </c>
      <c r="AC149" s="75">
        <v>9.1999999999999993</v>
      </c>
      <c r="AD149" s="75">
        <v>-0.57599999999999996</v>
      </c>
      <c r="AE149" s="75">
        <v>-0.443</v>
      </c>
      <c r="AF149" s="105">
        <v>-0.29199999999999998</v>
      </c>
    </row>
    <row r="150" spans="2:32" x14ac:dyDescent="0.3">
      <c r="B150" s="111">
        <v>24.1666666666667</v>
      </c>
      <c r="C150" s="104">
        <v>9.56</v>
      </c>
      <c r="D150" s="75">
        <v>9.5299999999999994</v>
      </c>
      <c r="E150" s="75">
        <v>9.3800000000000008</v>
      </c>
      <c r="F150" s="75">
        <v>-2.85</v>
      </c>
      <c r="G150" s="75">
        <v>-2.7879999999999998</v>
      </c>
      <c r="H150" s="105">
        <v>-3.0249999999999999</v>
      </c>
      <c r="I150" s="104">
        <v>10.15</v>
      </c>
      <c r="J150" s="75">
        <v>10.119999999999999</v>
      </c>
      <c r="K150" s="75">
        <v>9.98</v>
      </c>
      <c r="L150" s="75">
        <v>-16.66</v>
      </c>
      <c r="M150" s="75">
        <v>-16.55</v>
      </c>
      <c r="N150" s="105">
        <v>-16.07</v>
      </c>
      <c r="O150" s="104">
        <v>25.28</v>
      </c>
      <c r="P150" s="75">
        <v>25.3</v>
      </c>
      <c r="Q150" s="75">
        <v>25.32</v>
      </c>
      <c r="R150" s="75">
        <v>-1.43</v>
      </c>
      <c r="S150" s="75">
        <v>-1.6339999999999999</v>
      </c>
      <c r="T150" s="105">
        <v>-2.1349999999999998</v>
      </c>
      <c r="U150" s="104">
        <v>25.3</v>
      </c>
      <c r="V150" s="75">
        <v>25.26</v>
      </c>
      <c r="W150" s="75">
        <v>25.26</v>
      </c>
      <c r="X150" s="75">
        <v>-1.772</v>
      </c>
      <c r="Y150" s="75">
        <v>-2.6389999999999998</v>
      </c>
      <c r="Z150" s="105">
        <v>-3.25</v>
      </c>
      <c r="AA150" s="104">
        <v>9.32</v>
      </c>
      <c r="AB150" s="75">
        <v>9.2799999999999994</v>
      </c>
      <c r="AC150" s="75">
        <v>9.1199999999999992</v>
      </c>
      <c r="AD150" s="75">
        <v>-0.65200000000000002</v>
      </c>
      <c r="AE150" s="75">
        <v>-0.47599999999999998</v>
      </c>
      <c r="AF150" s="105">
        <v>-0.58299999999999996</v>
      </c>
    </row>
    <row r="151" spans="2:32" x14ac:dyDescent="0.3">
      <c r="B151" s="111">
        <v>24.333333333333368</v>
      </c>
      <c r="C151" s="104">
        <v>9.49</v>
      </c>
      <c r="D151" s="75">
        <v>9.4600000000000009</v>
      </c>
      <c r="E151" s="75">
        <v>9.31</v>
      </c>
      <c r="F151" s="75">
        <v>-2.859</v>
      </c>
      <c r="G151" s="75">
        <v>-2.7679999999999998</v>
      </c>
      <c r="H151" s="105">
        <v>-2.851</v>
      </c>
      <c r="I151" s="104">
        <v>10.08</v>
      </c>
      <c r="J151" s="75">
        <v>10.039999999999999</v>
      </c>
      <c r="K151" s="75">
        <v>9.91</v>
      </c>
      <c r="L151" s="75">
        <v>-16.66</v>
      </c>
      <c r="M151" s="75">
        <v>-16.43</v>
      </c>
      <c r="N151" s="105">
        <v>-16.21</v>
      </c>
      <c r="O151" s="104">
        <v>25.21</v>
      </c>
      <c r="P151" s="75">
        <v>25.24</v>
      </c>
      <c r="Q151" s="75">
        <v>25.25</v>
      </c>
      <c r="R151" s="75">
        <v>-1.427</v>
      </c>
      <c r="S151" s="75">
        <v>-1.508</v>
      </c>
      <c r="T151" s="105">
        <v>-2.0710000000000002</v>
      </c>
      <c r="U151" s="104">
        <v>25.23</v>
      </c>
      <c r="V151" s="75">
        <v>25.2</v>
      </c>
      <c r="W151" s="75">
        <v>25.2</v>
      </c>
      <c r="X151" s="75">
        <v>-2.0649999999999999</v>
      </c>
      <c r="Y151" s="75">
        <v>-2.6139999999999999</v>
      </c>
      <c r="Z151" s="105">
        <v>-3.1019999999999999</v>
      </c>
      <c r="AA151" s="104">
        <v>9.25</v>
      </c>
      <c r="AB151" s="75">
        <v>9.1999999999999993</v>
      </c>
      <c r="AC151" s="75">
        <v>9.0500000000000007</v>
      </c>
      <c r="AD151" s="75">
        <v>-0.71899999999999997</v>
      </c>
      <c r="AE151" s="75">
        <v>-0.41499999999999998</v>
      </c>
      <c r="AF151" s="105">
        <v>-0.44400000000000001</v>
      </c>
    </row>
    <row r="152" spans="2:32" x14ac:dyDescent="0.3">
      <c r="B152" s="111">
        <v>24.500000000000036</v>
      </c>
      <c r="C152" s="104">
        <v>9.42</v>
      </c>
      <c r="D152" s="75">
        <v>9.3800000000000008</v>
      </c>
      <c r="E152" s="75">
        <v>9.23</v>
      </c>
      <c r="F152" s="75">
        <v>-2.738</v>
      </c>
      <c r="G152" s="75">
        <v>-2.9729999999999999</v>
      </c>
      <c r="H152" s="105">
        <v>-2.98</v>
      </c>
      <c r="I152" s="104">
        <v>10</v>
      </c>
      <c r="J152" s="75">
        <v>9.9499999999999993</v>
      </c>
      <c r="K152" s="75">
        <v>9.81</v>
      </c>
      <c r="L152" s="75">
        <v>-16.55</v>
      </c>
      <c r="M152" s="75">
        <v>-16.149999999999999</v>
      </c>
      <c r="N152" s="105">
        <v>-15.73</v>
      </c>
      <c r="O152" s="104">
        <v>25.11</v>
      </c>
      <c r="P152" s="75">
        <v>25.17</v>
      </c>
      <c r="Q152" s="75">
        <v>25.18</v>
      </c>
      <c r="R152" s="75">
        <v>-1.6140000000000001</v>
      </c>
      <c r="S152" s="75">
        <v>-1.782</v>
      </c>
      <c r="T152" s="105">
        <v>-2.0569999999999999</v>
      </c>
      <c r="U152" s="104">
        <v>25.16</v>
      </c>
      <c r="V152" s="75">
        <v>25.13</v>
      </c>
      <c r="W152" s="75">
        <v>25.13</v>
      </c>
      <c r="X152" s="75">
        <v>-1.766</v>
      </c>
      <c r="Y152" s="75">
        <v>-2.6419999999999999</v>
      </c>
      <c r="Z152" s="105">
        <v>-3.2530000000000001</v>
      </c>
      <c r="AA152" s="104">
        <v>9.18</v>
      </c>
      <c r="AB152" s="75">
        <v>9.1199999999999992</v>
      </c>
      <c r="AC152" s="75">
        <v>8.9700000000000006</v>
      </c>
      <c r="AD152" s="75">
        <v>-0.61799999999999999</v>
      </c>
      <c r="AE152" s="75">
        <v>-0.61499999999999999</v>
      </c>
      <c r="AF152" s="105">
        <v>-0.58199999999999996</v>
      </c>
    </row>
    <row r="153" spans="2:32" x14ac:dyDescent="0.3">
      <c r="B153" s="111">
        <v>24.666666666666703</v>
      </c>
      <c r="C153" s="104">
        <v>9.35</v>
      </c>
      <c r="D153" s="75">
        <v>9.31</v>
      </c>
      <c r="E153" s="75">
        <v>9.16</v>
      </c>
      <c r="F153" s="75">
        <v>-2.665</v>
      </c>
      <c r="G153" s="75">
        <v>-2.7410000000000001</v>
      </c>
      <c r="H153" s="105">
        <v>-2.8490000000000002</v>
      </c>
      <c r="I153" s="104">
        <v>9.92</v>
      </c>
      <c r="J153" s="75">
        <v>9.8699999999999992</v>
      </c>
      <c r="K153" s="75">
        <v>9.7200000000000006</v>
      </c>
      <c r="L153" s="75">
        <v>-16.28</v>
      </c>
      <c r="M153" s="75">
        <v>-16.149999999999999</v>
      </c>
      <c r="N153" s="105">
        <v>-15.45</v>
      </c>
      <c r="O153" s="104">
        <v>25.05</v>
      </c>
      <c r="P153" s="75">
        <v>25.1</v>
      </c>
      <c r="Q153" s="75">
        <v>25.11</v>
      </c>
      <c r="R153" s="75">
        <v>-1.421</v>
      </c>
      <c r="S153" s="75">
        <v>-1.7729999999999999</v>
      </c>
      <c r="T153" s="105">
        <v>-1.915</v>
      </c>
      <c r="U153" s="104">
        <v>25.08</v>
      </c>
      <c r="V153" s="75">
        <v>25.06</v>
      </c>
      <c r="W153" s="75">
        <v>25.06</v>
      </c>
      <c r="X153" s="75">
        <v>-1.7430000000000001</v>
      </c>
      <c r="Y153" s="75">
        <v>-2.7919999999999998</v>
      </c>
      <c r="Z153" s="105">
        <v>-3.1539999999999999</v>
      </c>
      <c r="AA153" s="104">
        <v>9.1</v>
      </c>
      <c r="AB153" s="75">
        <v>9.06</v>
      </c>
      <c r="AC153" s="75">
        <v>8.9</v>
      </c>
      <c r="AD153" s="75">
        <v>-0.47799999999999998</v>
      </c>
      <c r="AE153" s="75">
        <v>-0.4</v>
      </c>
      <c r="AF153" s="105">
        <v>-0.49399999999999999</v>
      </c>
    </row>
    <row r="154" spans="2:32" x14ac:dyDescent="0.3">
      <c r="B154" s="111">
        <v>24.833333333333371</v>
      </c>
      <c r="C154" s="104">
        <v>9.27</v>
      </c>
      <c r="D154" s="75">
        <v>9.24</v>
      </c>
      <c r="E154" s="75">
        <v>9.06</v>
      </c>
      <c r="F154" s="75">
        <v>-2.7570000000000001</v>
      </c>
      <c r="G154" s="75">
        <v>-2.859</v>
      </c>
      <c r="H154" s="105">
        <v>-3.3039999999999998</v>
      </c>
      <c r="I154" s="104">
        <v>9.83</v>
      </c>
      <c r="J154" s="75">
        <v>9.7799999999999994</v>
      </c>
      <c r="K154" s="75">
        <v>9.6</v>
      </c>
      <c r="L154" s="75">
        <v>-15.91</v>
      </c>
      <c r="M154" s="75">
        <v>-15.62</v>
      </c>
      <c r="N154" s="105">
        <v>-14.93</v>
      </c>
      <c r="O154" s="104">
        <v>24.98</v>
      </c>
      <c r="P154" s="75">
        <v>25.02</v>
      </c>
      <c r="Q154" s="75">
        <v>25.03</v>
      </c>
      <c r="R154" s="75">
        <v>-1.4179999999999999</v>
      </c>
      <c r="S154" s="75">
        <v>-1.8740000000000001</v>
      </c>
      <c r="T154" s="105">
        <v>-2.0720000000000001</v>
      </c>
      <c r="U154" s="104">
        <v>25.01</v>
      </c>
      <c r="V154" s="75">
        <v>24.99</v>
      </c>
      <c r="W154" s="75">
        <v>24.98</v>
      </c>
      <c r="X154" s="75">
        <v>-1.76</v>
      </c>
      <c r="Y154" s="75">
        <v>-2.6440000000000001</v>
      </c>
      <c r="Z154" s="105">
        <v>-3.2549999999999999</v>
      </c>
      <c r="AA154" s="104">
        <v>9.0299999999999994</v>
      </c>
      <c r="AB154" s="75">
        <v>8.98</v>
      </c>
      <c r="AC154" s="75">
        <v>8.8000000000000007</v>
      </c>
      <c r="AD154" s="75">
        <v>-0.61799999999999999</v>
      </c>
      <c r="AE154" s="75">
        <v>-0.53800000000000003</v>
      </c>
      <c r="AF154" s="105">
        <v>-0.90200000000000002</v>
      </c>
    </row>
    <row r="155" spans="2:32" x14ac:dyDescent="0.3">
      <c r="B155" s="111">
        <v>25.000000000000039</v>
      </c>
      <c r="C155" s="104">
        <v>9.1999999999999993</v>
      </c>
      <c r="D155" s="75">
        <v>9.17</v>
      </c>
      <c r="E155" s="75">
        <v>8.98</v>
      </c>
      <c r="F155" s="75">
        <v>-2.988</v>
      </c>
      <c r="G155" s="75">
        <v>-2.85</v>
      </c>
      <c r="H155" s="105">
        <v>-3.1930000000000001</v>
      </c>
      <c r="I155" s="104">
        <v>9.74</v>
      </c>
      <c r="J155" s="75">
        <v>9.69</v>
      </c>
      <c r="K155" s="75">
        <v>9.49</v>
      </c>
      <c r="L155" s="75">
        <v>-15.67</v>
      </c>
      <c r="M155" s="75">
        <v>-15.14</v>
      </c>
      <c r="N155" s="105">
        <v>-14.95</v>
      </c>
      <c r="O155" s="104">
        <v>24.89</v>
      </c>
      <c r="P155" s="75">
        <v>24.96</v>
      </c>
      <c r="Q155" s="75">
        <v>24.97</v>
      </c>
      <c r="R155" s="75">
        <v>-1.879</v>
      </c>
      <c r="S155" s="75">
        <v>-1.746</v>
      </c>
      <c r="T155" s="105">
        <v>-1.9430000000000001</v>
      </c>
      <c r="U155" s="104">
        <v>24.91</v>
      </c>
      <c r="V155" s="75">
        <v>24.93</v>
      </c>
      <c r="W155" s="75">
        <v>24.92</v>
      </c>
      <c r="X155" s="75">
        <v>-1.4590000000000001</v>
      </c>
      <c r="Y155" s="75">
        <v>-2.8660000000000001</v>
      </c>
      <c r="Z155" s="105">
        <v>-3.355</v>
      </c>
      <c r="AA155" s="104">
        <v>8.9499999999999993</v>
      </c>
      <c r="AB155" s="75">
        <v>8.91</v>
      </c>
      <c r="AC155" s="75">
        <v>8.7200000000000006</v>
      </c>
      <c r="AD155" s="75">
        <v>-0.73</v>
      </c>
      <c r="AE155" s="75">
        <v>-0.438</v>
      </c>
      <c r="AF155" s="105">
        <v>-0.71899999999999997</v>
      </c>
    </row>
    <row r="156" spans="2:32" x14ac:dyDescent="0.3">
      <c r="B156" s="111">
        <v>25.166666666666707</v>
      </c>
      <c r="C156" s="104">
        <v>9.1300000000000008</v>
      </c>
      <c r="D156" s="75">
        <v>9.07</v>
      </c>
      <c r="E156" s="75">
        <v>8.9</v>
      </c>
      <c r="F156" s="75">
        <v>-2.899</v>
      </c>
      <c r="G156" s="75">
        <v>-3.4460000000000002</v>
      </c>
      <c r="H156" s="105">
        <v>-3.0310000000000001</v>
      </c>
      <c r="I156" s="104">
        <v>9.65</v>
      </c>
      <c r="J156" s="75">
        <v>9.58</v>
      </c>
      <c r="K156" s="75">
        <v>9.39</v>
      </c>
      <c r="L156" s="75">
        <v>-15.23</v>
      </c>
      <c r="M156" s="75">
        <v>-14.62</v>
      </c>
      <c r="N156" s="105">
        <v>-14.2</v>
      </c>
      <c r="O156" s="104">
        <v>24.83</v>
      </c>
      <c r="P156" s="75">
        <v>24.89</v>
      </c>
      <c r="Q156" s="75">
        <v>24.89</v>
      </c>
      <c r="R156" s="75">
        <v>-1.4119999999999999</v>
      </c>
      <c r="S156" s="75">
        <v>-1.782</v>
      </c>
      <c r="T156" s="105">
        <v>-2.125</v>
      </c>
      <c r="U156" s="104">
        <v>24.87</v>
      </c>
      <c r="V156" s="75">
        <v>24.87</v>
      </c>
      <c r="W156" s="75">
        <v>24.85</v>
      </c>
      <c r="X156" s="75">
        <v>-1.7549999999999999</v>
      </c>
      <c r="Y156" s="75">
        <v>-2.6459999999999999</v>
      </c>
      <c r="Z156" s="105">
        <v>-3.2570000000000001</v>
      </c>
      <c r="AA156" s="104">
        <v>8.8800000000000008</v>
      </c>
      <c r="AB156" s="75">
        <v>8.82</v>
      </c>
      <c r="AC156" s="75">
        <v>8.64</v>
      </c>
      <c r="AD156" s="75">
        <v>-0.66</v>
      </c>
      <c r="AE156" s="75">
        <v>-1.1080000000000001</v>
      </c>
      <c r="AF156" s="105">
        <v>-0.65400000000000003</v>
      </c>
    </row>
    <row r="157" spans="2:32" x14ac:dyDescent="0.3">
      <c r="B157" s="111">
        <v>25.333333333333375</v>
      </c>
      <c r="C157" s="104">
        <v>9.0299999999999994</v>
      </c>
      <c r="D157" s="75">
        <v>8.98</v>
      </c>
      <c r="E157" s="75">
        <v>8.83</v>
      </c>
      <c r="F157" s="75">
        <v>-3.2450000000000001</v>
      </c>
      <c r="G157" s="75">
        <v>-3.1920000000000002</v>
      </c>
      <c r="H157" s="105">
        <v>-2.8919999999999999</v>
      </c>
      <c r="I157" s="104">
        <v>9.5299999999999994</v>
      </c>
      <c r="J157" s="75">
        <v>9.4700000000000006</v>
      </c>
      <c r="K157" s="75">
        <v>9.2799999999999994</v>
      </c>
      <c r="L157" s="75">
        <v>-14.68</v>
      </c>
      <c r="M157" s="75">
        <v>-14.89</v>
      </c>
      <c r="N157" s="105">
        <v>-13.45</v>
      </c>
      <c r="O157" s="104">
        <v>24.75</v>
      </c>
      <c r="P157" s="75">
        <v>24.81</v>
      </c>
      <c r="Q157" s="75">
        <v>24.82</v>
      </c>
      <c r="R157" s="75">
        <v>-1.409</v>
      </c>
      <c r="S157" s="75">
        <v>-1.93</v>
      </c>
      <c r="T157" s="105">
        <v>-2.1629999999999998</v>
      </c>
      <c r="U157" s="104">
        <v>24.79</v>
      </c>
      <c r="V157" s="75">
        <v>24.79</v>
      </c>
      <c r="W157" s="75">
        <v>24.77</v>
      </c>
      <c r="X157" s="75">
        <v>-1.9590000000000001</v>
      </c>
      <c r="Y157" s="75">
        <v>-2.609</v>
      </c>
      <c r="Z157" s="105">
        <v>-3.335</v>
      </c>
      <c r="AA157" s="104">
        <v>8.7799999999999994</v>
      </c>
      <c r="AB157" s="75">
        <v>8.73</v>
      </c>
      <c r="AC157" s="75">
        <v>8.56</v>
      </c>
      <c r="AD157" s="75">
        <v>-1.044</v>
      </c>
      <c r="AE157" s="75">
        <v>-0.89900000000000002</v>
      </c>
      <c r="AF157" s="105">
        <v>-0.46400000000000002</v>
      </c>
    </row>
    <row r="158" spans="2:32" x14ac:dyDescent="0.3">
      <c r="B158" s="111">
        <v>25.500000000000043</v>
      </c>
      <c r="C158" s="104">
        <v>8.9499999999999993</v>
      </c>
      <c r="D158" s="75">
        <v>8.8699999999999992</v>
      </c>
      <c r="E158" s="75">
        <v>8.74</v>
      </c>
      <c r="F158" s="75">
        <v>-3.085</v>
      </c>
      <c r="G158" s="75">
        <v>-2.8780000000000001</v>
      </c>
      <c r="H158" s="105">
        <v>-2.847</v>
      </c>
      <c r="I158" s="104">
        <v>9.42</v>
      </c>
      <c r="J158" s="75">
        <v>9.3000000000000007</v>
      </c>
      <c r="K158" s="75">
        <v>9.15</v>
      </c>
      <c r="L158" s="75">
        <v>-14.54</v>
      </c>
      <c r="M158" s="75">
        <v>-14.06</v>
      </c>
      <c r="N158" s="105">
        <v>-12.49</v>
      </c>
      <c r="O158" s="104">
        <v>24.69</v>
      </c>
      <c r="P158" s="75">
        <v>24.73</v>
      </c>
      <c r="Q158" s="75">
        <v>24.72</v>
      </c>
      <c r="R158" s="75">
        <v>-1.2669999999999999</v>
      </c>
      <c r="S158" s="75">
        <v>-2.4369999999999998</v>
      </c>
      <c r="T158" s="105">
        <v>-2.4609999999999999</v>
      </c>
      <c r="U158" s="104">
        <v>24.72</v>
      </c>
      <c r="V158" s="75">
        <v>24.71</v>
      </c>
      <c r="W158" s="75">
        <v>24.69</v>
      </c>
      <c r="X158" s="75">
        <v>-1.7490000000000001</v>
      </c>
      <c r="Y158" s="75">
        <v>-2.649</v>
      </c>
      <c r="Z158" s="105">
        <v>-3.26</v>
      </c>
      <c r="AA158" s="104">
        <v>8.6999999999999993</v>
      </c>
      <c r="AB158" s="75">
        <v>8.61</v>
      </c>
      <c r="AC158" s="75">
        <v>8.48</v>
      </c>
      <c r="AD158" s="75">
        <v>-0.84799999999999998</v>
      </c>
      <c r="AE158" s="75">
        <v>-0.47599999999999998</v>
      </c>
      <c r="AF158" s="105">
        <v>-0.48699999999999999</v>
      </c>
    </row>
    <row r="159" spans="2:32" x14ac:dyDescent="0.3">
      <c r="B159" s="111">
        <v>25.66666666666671</v>
      </c>
      <c r="C159" s="104">
        <v>8.8699999999999992</v>
      </c>
      <c r="D159" s="75">
        <v>8.75</v>
      </c>
      <c r="E159" s="75">
        <v>8.67</v>
      </c>
      <c r="F159" s="75">
        <v>-2.8359999999999999</v>
      </c>
      <c r="G159" s="75">
        <v>-2.9420000000000002</v>
      </c>
      <c r="H159" s="105">
        <v>-2.8149999999999999</v>
      </c>
      <c r="I159" s="104">
        <v>9.31</v>
      </c>
      <c r="J159" s="75">
        <v>9.1300000000000008</v>
      </c>
      <c r="K159" s="75">
        <v>9.0399999999999991</v>
      </c>
      <c r="L159" s="75">
        <v>-13.76</v>
      </c>
      <c r="M159" s="75">
        <v>-12.57</v>
      </c>
      <c r="N159" s="105">
        <v>-11.7</v>
      </c>
      <c r="O159" s="104">
        <v>24.6</v>
      </c>
      <c r="P159" s="75">
        <v>24.65</v>
      </c>
      <c r="Q159" s="75">
        <v>24.63</v>
      </c>
      <c r="R159" s="75">
        <v>-1.403</v>
      </c>
      <c r="S159" s="75">
        <v>-2.343</v>
      </c>
      <c r="T159" s="105">
        <v>-2.3210000000000002</v>
      </c>
      <c r="U159" s="104">
        <v>24.65</v>
      </c>
      <c r="V159" s="75">
        <v>24.64</v>
      </c>
      <c r="W159" s="75">
        <v>24.6</v>
      </c>
      <c r="X159" s="75">
        <v>-1.554</v>
      </c>
      <c r="Y159" s="75">
        <v>-2.851</v>
      </c>
      <c r="Z159" s="105">
        <v>-3.2549999999999999</v>
      </c>
      <c r="AA159" s="104">
        <v>8.6199999999999992</v>
      </c>
      <c r="AB159" s="75">
        <v>8.5</v>
      </c>
      <c r="AC159" s="75">
        <v>8.4</v>
      </c>
      <c r="AD159" s="75">
        <v>-0.625</v>
      </c>
      <c r="AE159" s="75">
        <v>-0.54500000000000004</v>
      </c>
      <c r="AF159" s="105">
        <v>-0.443</v>
      </c>
    </row>
    <row r="160" spans="2:32" x14ac:dyDescent="0.3">
      <c r="B160" s="111">
        <v>25.833333333333378</v>
      </c>
      <c r="C160" s="104">
        <v>8.8000000000000007</v>
      </c>
      <c r="D160" s="75">
        <v>8.69</v>
      </c>
      <c r="E160" s="75">
        <v>8.6</v>
      </c>
      <c r="F160" s="75">
        <v>-2.867</v>
      </c>
      <c r="G160" s="75">
        <v>-2.9340000000000002</v>
      </c>
      <c r="H160" s="105">
        <v>-2.83</v>
      </c>
      <c r="I160" s="104">
        <v>9.1999999999999993</v>
      </c>
      <c r="J160" s="75">
        <v>9.02</v>
      </c>
      <c r="K160" s="75">
        <v>8.92</v>
      </c>
      <c r="L160" s="75">
        <v>-12.93</v>
      </c>
      <c r="M160" s="75">
        <v>-11.5</v>
      </c>
      <c r="N160" s="105">
        <v>-10.8</v>
      </c>
      <c r="O160" s="104">
        <v>24.53</v>
      </c>
      <c r="P160" s="75">
        <v>24.57</v>
      </c>
      <c r="Q160" s="75">
        <v>24.56</v>
      </c>
      <c r="R160" s="75">
        <v>-1.399</v>
      </c>
      <c r="S160" s="75">
        <v>-2.2490000000000001</v>
      </c>
      <c r="T160" s="105">
        <v>-1.8779999999999999</v>
      </c>
      <c r="U160" s="104">
        <v>24.57</v>
      </c>
      <c r="V160" s="75">
        <v>24.56</v>
      </c>
      <c r="W160" s="75">
        <v>24.53</v>
      </c>
      <c r="X160" s="75">
        <v>-1.7430000000000001</v>
      </c>
      <c r="Y160" s="75">
        <v>-2.6509999999999998</v>
      </c>
      <c r="Z160" s="105">
        <v>-3.262</v>
      </c>
      <c r="AA160" s="104">
        <v>8.5399999999999991</v>
      </c>
      <c r="AB160" s="75">
        <v>8.43</v>
      </c>
      <c r="AC160" s="75">
        <v>8.33</v>
      </c>
      <c r="AD160" s="75">
        <v>-0.60699999999999998</v>
      </c>
      <c r="AE160" s="75">
        <v>-0.51500000000000001</v>
      </c>
      <c r="AF160" s="105">
        <v>-0.44400000000000001</v>
      </c>
    </row>
    <row r="161" spans="2:32" x14ac:dyDescent="0.3">
      <c r="B161" s="111">
        <v>26.000000000000046</v>
      </c>
      <c r="C161" s="104">
        <v>8.7100000000000009</v>
      </c>
      <c r="D161" s="75">
        <v>8.6199999999999992</v>
      </c>
      <c r="E161" s="75">
        <v>8.5299999999999994</v>
      </c>
      <c r="F161" s="75">
        <v>-3.14</v>
      </c>
      <c r="G161" s="75">
        <v>-2.8919999999999999</v>
      </c>
      <c r="H161" s="105">
        <v>-2.8210000000000002</v>
      </c>
      <c r="I161" s="104">
        <v>9.08</v>
      </c>
      <c r="J161" s="75">
        <v>8.91</v>
      </c>
      <c r="K161" s="75">
        <v>8.8000000000000007</v>
      </c>
      <c r="L161" s="75">
        <v>-11.98</v>
      </c>
      <c r="M161" s="75">
        <v>-10.58</v>
      </c>
      <c r="N161" s="105">
        <v>-9.84</v>
      </c>
      <c r="O161" s="104">
        <v>24.46</v>
      </c>
      <c r="P161" s="75">
        <v>24.49</v>
      </c>
      <c r="Q161" s="75">
        <v>24.5</v>
      </c>
      <c r="R161" s="75">
        <v>-1.4690000000000001</v>
      </c>
      <c r="S161" s="75">
        <v>-2.0779999999999998</v>
      </c>
      <c r="T161" s="105">
        <v>-1.8779999999999999</v>
      </c>
      <c r="U161" s="104">
        <v>24.5</v>
      </c>
      <c r="V161" s="75">
        <v>24.49</v>
      </c>
      <c r="W161" s="75">
        <v>24.47</v>
      </c>
      <c r="X161" s="75">
        <v>-1.5309999999999999</v>
      </c>
      <c r="Y161" s="75">
        <v>-2.1549999999999998</v>
      </c>
      <c r="Z161" s="105">
        <v>-3.278</v>
      </c>
      <c r="AA161" s="104">
        <v>8.4600000000000009</v>
      </c>
      <c r="AB161" s="75">
        <v>8.36</v>
      </c>
      <c r="AC161" s="75">
        <v>8.27</v>
      </c>
      <c r="AD161" s="75">
        <v>-0.93400000000000005</v>
      </c>
      <c r="AE161" s="75">
        <v>-0.49399999999999999</v>
      </c>
      <c r="AF161" s="105">
        <v>-0.40799999999999997</v>
      </c>
    </row>
    <row r="162" spans="2:32" x14ac:dyDescent="0.3">
      <c r="B162" s="111">
        <v>26.166666666666714</v>
      </c>
      <c r="C162" s="104">
        <v>8.6199999999999992</v>
      </c>
      <c r="D162" s="75">
        <v>8.5399999999999991</v>
      </c>
      <c r="E162" s="75">
        <v>8.4600000000000009</v>
      </c>
      <c r="F162" s="75">
        <v>-2.673</v>
      </c>
      <c r="G162" s="75">
        <v>-2.802</v>
      </c>
      <c r="H162" s="105">
        <v>-2.72</v>
      </c>
      <c r="I162" s="104">
        <v>8.9700000000000006</v>
      </c>
      <c r="J162" s="75">
        <v>8.7899999999999991</v>
      </c>
      <c r="K162" s="75">
        <v>8.69</v>
      </c>
      <c r="L162" s="75">
        <v>-11.53</v>
      </c>
      <c r="M162" s="75">
        <v>-9.59</v>
      </c>
      <c r="N162" s="105">
        <v>-8.9</v>
      </c>
      <c r="O162" s="104">
        <v>24.37</v>
      </c>
      <c r="P162" s="75">
        <v>24.41</v>
      </c>
      <c r="Q162" s="75">
        <v>24.43</v>
      </c>
      <c r="R162" s="75">
        <v>-1.393</v>
      </c>
      <c r="S162" s="75">
        <v>-2.1440000000000001</v>
      </c>
      <c r="T162" s="105">
        <v>-1.946</v>
      </c>
      <c r="U162" s="104">
        <v>24.43</v>
      </c>
      <c r="V162" s="75">
        <v>24.41</v>
      </c>
      <c r="W162" s="75">
        <v>24.4</v>
      </c>
      <c r="X162" s="75">
        <v>-1.738</v>
      </c>
      <c r="Y162" s="75">
        <v>-2.653</v>
      </c>
      <c r="Z162" s="105">
        <v>-3.2639999999999998</v>
      </c>
      <c r="AA162" s="104">
        <v>8.3800000000000008</v>
      </c>
      <c r="AB162" s="75">
        <v>8.2799999999999994</v>
      </c>
      <c r="AC162" s="75">
        <v>8.2200000000000006</v>
      </c>
      <c r="AD162" s="75">
        <v>-0.45700000000000002</v>
      </c>
      <c r="AE162" s="75">
        <v>-0.53600000000000003</v>
      </c>
      <c r="AF162" s="105">
        <v>-0.249</v>
      </c>
    </row>
    <row r="163" spans="2:32" x14ac:dyDescent="0.3">
      <c r="B163" s="111">
        <v>26.333333333333382</v>
      </c>
      <c r="C163" s="104">
        <v>8.57</v>
      </c>
      <c r="D163" s="75">
        <v>8.4600000000000009</v>
      </c>
      <c r="E163" s="75">
        <v>8.3800000000000008</v>
      </c>
      <c r="F163" s="75">
        <v>-2.4590000000000001</v>
      </c>
      <c r="G163" s="75">
        <v>-2.786</v>
      </c>
      <c r="H163" s="105">
        <v>-3.0579999999999998</v>
      </c>
      <c r="I163" s="104">
        <v>8.86</v>
      </c>
      <c r="J163" s="75">
        <v>8.67</v>
      </c>
      <c r="K163" s="75">
        <v>8.58</v>
      </c>
      <c r="L163" s="75">
        <v>-10.24</v>
      </c>
      <c r="M163" s="75">
        <v>-8.7200000000000006</v>
      </c>
      <c r="N163" s="105">
        <v>-7.9210000000000003</v>
      </c>
      <c r="O163" s="104">
        <v>24.32</v>
      </c>
      <c r="P163" s="75">
        <v>24.34</v>
      </c>
      <c r="Q163" s="75">
        <v>24.36</v>
      </c>
      <c r="R163" s="75">
        <v>-1.39</v>
      </c>
      <c r="S163" s="75">
        <v>-2.0110000000000001</v>
      </c>
      <c r="T163" s="105">
        <v>-1.9379999999999999</v>
      </c>
      <c r="U163" s="104">
        <v>24.36</v>
      </c>
      <c r="V163" s="75">
        <v>24.34</v>
      </c>
      <c r="W163" s="75">
        <v>24.34</v>
      </c>
      <c r="X163" s="75">
        <v>-1.75</v>
      </c>
      <c r="Y163" s="75">
        <v>-2.839</v>
      </c>
      <c r="Z163" s="105">
        <v>-3.6459999999999999</v>
      </c>
      <c r="AA163" s="104">
        <v>8.33</v>
      </c>
      <c r="AB163" s="75">
        <v>8.2200000000000006</v>
      </c>
      <c r="AC163" s="75">
        <v>8.18</v>
      </c>
      <c r="AD163" s="75">
        <v>-0.30599999999999999</v>
      </c>
      <c r="AE163" s="75">
        <v>-0.68700000000000006</v>
      </c>
      <c r="AF163" s="105">
        <v>-0.34399999999999997</v>
      </c>
    </row>
    <row r="164" spans="2:32" x14ac:dyDescent="0.3">
      <c r="B164" s="111">
        <v>26.50000000000005</v>
      </c>
      <c r="C164" s="104">
        <v>8.5</v>
      </c>
      <c r="D164" s="75">
        <v>8.4</v>
      </c>
      <c r="E164" s="75">
        <v>8.43</v>
      </c>
      <c r="F164" s="75">
        <v>-2.7029999999999998</v>
      </c>
      <c r="G164" s="75">
        <v>-3.0720000000000001</v>
      </c>
      <c r="H164" s="105">
        <v>-3.2320000000000002</v>
      </c>
      <c r="I164" s="104">
        <v>8.75</v>
      </c>
      <c r="J164" s="75">
        <v>8.56</v>
      </c>
      <c r="K164" s="75">
        <v>8.5299999999999994</v>
      </c>
      <c r="L164" s="75">
        <v>-9.15</v>
      </c>
      <c r="M164" s="75">
        <v>-7.9379999999999997</v>
      </c>
      <c r="N164" s="105">
        <v>-7.3090000000000002</v>
      </c>
      <c r="O164" s="104">
        <v>24.25</v>
      </c>
      <c r="P164" s="75">
        <v>24.28</v>
      </c>
      <c r="Q164" s="75">
        <v>24.29</v>
      </c>
      <c r="R164" s="75">
        <v>-1.08</v>
      </c>
      <c r="S164" s="75">
        <v>-1.8440000000000001</v>
      </c>
      <c r="T164" s="105">
        <v>-1.738</v>
      </c>
      <c r="U164" s="104">
        <v>24.28</v>
      </c>
      <c r="V164" s="75">
        <v>24.28</v>
      </c>
      <c r="W164" s="75">
        <v>24.27</v>
      </c>
      <c r="X164" s="75">
        <v>-1.732</v>
      </c>
      <c r="Y164" s="75">
        <v>-2.6560000000000001</v>
      </c>
      <c r="Z164" s="105">
        <v>-3.2669999999999999</v>
      </c>
      <c r="AA164" s="104">
        <v>8.26</v>
      </c>
      <c r="AB164" s="75">
        <v>8.1999999999999993</v>
      </c>
      <c r="AC164" s="75">
        <v>8.24</v>
      </c>
      <c r="AD164" s="75">
        <v>-0.55600000000000005</v>
      </c>
      <c r="AE164" s="75">
        <v>-1.5189999999999999</v>
      </c>
      <c r="AF164" s="105">
        <v>-0.312</v>
      </c>
    </row>
    <row r="165" spans="2:32" x14ac:dyDescent="0.3">
      <c r="B165" s="111">
        <v>26.666666666666718</v>
      </c>
      <c r="C165" s="104">
        <v>8.42</v>
      </c>
      <c r="D165" s="75">
        <v>8.36</v>
      </c>
      <c r="E165" s="75">
        <v>8.4700000000000006</v>
      </c>
      <c r="F165" s="75">
        <v>-2.673</v>
      </c>
      <c r="G165" s="75">
        <v>-4.6520000000000001</v>
      </c>
      <c r="H165" s="105">
        <v>-3.4060000000000001</v>
      </c>
      <c r="I165" s="104">
        <v>8.6300000000000008</v>
      </c>
      <c r="J165" s="75">
        <v>8.4600000000000009</v>
      </c>
      <c r="K165" s="75">
        <v>8.48</v>
      </c>
      <c r="L165" s="75">
        <v>-8.33</v>
      </c>
      <c r="M165" s="75">
        <v>-7.056</v>
      </c>
      <c r="N165" s="105">
        <v>-6.8689999999999998</v>
      </c>
      <c r="O165" s="104">
        <v>24.19</v>
      </c>
      <c r="P165" s="75">
        <v>24.21</v>
      </c>
      <c r="Q165" s="75">
        <v>24.22</v>
      </c>
      <c r="R165" s="75">
        <v>-1.3839999999999999</v>
      </c>
      <c r="S165" s="75">
        <v>-1.929</v>
      </c>
      <c r="T165" s="105">
        <v>-2.0870000000000002</v>
      </c>
      <c r="U165" s="104">
        <v>24.21</v>
      </c>
      <c r="V165" s="75">
        <v>24.21</v>
      </c>
      <c r="W165" s="75">
        <v>24.2</v>
      </c>
      <c r="X165" s="75">
        <v>-1.9970000000000001</v>
      </c>
      <c r="Y165" s="75">
        <v>-2.516</v>
      </c>
      <c r="Z165" s="105">
        <v>-3.2090000000000001</v>
      </c>
      <c r="AA165" s="104">
        <v>8.19</v>
      </c>
      <c r="AB165" s="75">
        <v>8.19</v>
      </c>
      <c r="AC165" s="75">
        <v>8.2899999999999991</v>
      </c>
      <c r="AD165" s="75">
        <v>-0.64800000000000002</v>
      </c>
      <c r="AE165" s="75">
        <v>-2.9540000000000002</v>
      </c>
      <c r="AF165" s="105">
        <v>-1.58</v>
      </c>
    </row>
    <row r="166" spans="2:32" x14ac:dyDescent="0.3">
      <c r="B166" s="111">
        <v>26.833333333333385</v>
      </c>
      <c r="C166" s="104">
        <v>8.3699999999999992</v>
      </c>
      <c r="D166" s="75">
        <v>8.35</v>
      </c>
      <c r="E166" s="75">
        <v>8.4</v>
      </c>
      <c r="F166" s="75">
        <v>-2.7770000000000001</v>
      </c>
      <c r="G166" s="75">
        <v>-5.7679999999999998</v>
      </c>
      <c r="H166" s="105">
        <v>-5.4690000000000003</v>
      </c>
      <c r="I166" s="104">
        <v>8.5299999999999994</v>
      </c>
      <c r="J166" s="75">
        <v>8.36</v>
      </c>
      <c r="K166" s="75">
        <v>8.3800000000000008</v>
      </c>
      <c r="L166" s="75">
        <v>-7.532</v>
      </c>
      <c r="M166" s="75">
        <v>-6.4290000000000003</v>
      </c>
      <c r="N166" s="105">
        <v>-6.3419999999999996</v>
      </c>
      <c r="O166" s="104">
        <v>24.12</v>
      </c>
      <c r="P166" s="75">
        <v>24.14</v>
      </c>
      <c r="Q166" s="75">
        <v>24.15</v>
      </c>
      <c r="R166" s="75">
        <v>-1.381</v>
      </c>
      <c r="S166" s="75">
        <v>-1.899</v>
      </c>
      <c r="T166" s="105">
        <v>-2.0680000000000001</v>
      </c>
      <c r="U166" s="104">
        <v>24.14</v>
      </c>
      <c r="V166" s="75">
        <v>24.14</v>
      </c>
      <c r="W166" s="75">
        <v>24.13</v>
      </c>
      <c r="X166" s="75">
        <v>-1.726</v>
      </c>
      <c r="Y166" s="75">
        <v>-2.6579999999999999</v>
      </c>
      <c r="Z166" s="105">
        <v>-3.2690000000000001</v>
      </c>
      <c r="AA166" s="104">
        <v>8.16</v>
      </c>
      <c r="AB166" s="75">
        <v>8.18</v>
      </c>
      <c r="AC166" s="75">
        <v>8.2100000000000009</v>
      </c>
      <c r="AD166" s="75">
        <v>-1.262</v>
      </c>
      <c r="AE166" s="75">
        <v>-4.2030000000000003</v>
      </c>
      <c r="AF166" s="105">
        <v>-3.5209999999999999</v>
      </c>
    </row>
    <row r="167" spans="2:32" x14ac:dyDescent="0.3">
      <c r="B167" s="111">
        <v>27.000000000000053</v>
      </c>
      <c r="C167" s="104">
        <v>8.34</v>
      </c>
      <c r="D167" s="75">
        <v>8.31</v>
      </c>
      <c r="E167" s="75">
        <v>8.32</v>
      </c>
      <c r="F167" s="75">
        <v>-4.4119999999999999</v>
      </c>
      <c r="G167" s="75">
        <v>-6.7530000000000001</v>
      </c>
      <c r="H167" s="105">
        <v>-6.7789999999999999</v>
      </c>
      <c r="I167" s="104">
        <v>8.43</v>
      </c>
      <c r="J167" s="75">
        <v>8.25</v>
      </c>
      <c r="K167" s="75">
        <v>8.26</v>
      </c>
      <c r="L167" s="75">
        <v>-6.6130000000000004</v>
      </c>
      <c r="M167" s="75">
        <v>-5.6790000000000003</v>
      </c>
      <c r="N167" s="105">
        <v>-5.8330000000000002</v>
      </c>
      <c r="O167" s="104">
        <v>24.05</v>
      </c>
      <c r="P167" s="75">
        <v>24.07</v>
      </c>
      <c r="Q167" s="75">
        <v>24.08</v>
      </c>
      <c r="R167" s="75">
        <v>-1.143</v>
      </c>
      <c r="S167" s="75">
        <v>-1.833</v>
      </c>
      <c r="T167" s="105">
        <v>-2.028</v>
      </c>
      <c r="U167" s="104">
        <v>24.05</v>
      </c>
      <c r="V167" s="75">
        <v>24.07</v>
      </c>
      <c r="W167" s="75">
        <v>24.06</v>
      </c>
      <c r="X167" s="75">
        <v>-1.46</v>
      </c>
      <c r="Y167" s="75">
        <v>-2.3690000000000002</v>
      </c>
      <c r="Z167" s="105">
        <v>-3.44</v>
      </c>
      <c r="AA167" s="104">
        <v>8.16</v>
      </c>
      <c r="AB167" s="75">
        <v>8.14</v>
      </c>
      <c r="AC167" s="75">
        <v>8.14</v>
      </c>
      <c r="AD167" s="75">
        <v>-2.6960000000000002</v>
      </c>
      <c r="AE167" s="75">
        <v>-5.4450000000000003</v>
      </c>
      <c r="AF167" s="105">
        <v>-4.8449999999999998</v>
      </c>
    </row>
    <row r="168" spans="2:32" x14ac:dyDescent="0.3">
      <c r="B168" s="111">
        <v>27.166666666666721</v>
      </c>
      <c r="C168" s="104">
        <v>8.32</v>
      </c>
      <c r="D168" s="75">
        <v>8.2899999999999991</v>
      </c>
      <c r="E168" s="75">
        <v>8.27</v>
      </c>
      <c r="F168" s="75">
        <v>-5.7619999999999996</v>
      </c>
      <c r="G168" s="75">
        <v>-7.4809999999999999</v>
      </c>
      <c r="H168" s="105">
        <v>-7.6619999999999999</v>
      </c>
      <c r="I168" s="104">
        <v>8.33</v>
      </c>
      <c r="J168" s="75">
        <v>8.15</v>
      </c>
      <c r="K168" s="75">
        <v>8.15</v>
      </c>
      <c r="L168" s="75">
        <v>-5.86</v>
      </c>
      <c r="M168" s="75">
        <v>-5.4029999999999996</v>
      </c>
      <c r="N168" s="105">
        <v>-5.29</v>
      </c>
      <c r="O168" s="104">
        <v>23.98</v>
      </c>
      <c r="P168" s="75">
        <v>24</v>
      </c>
      <c r="Q168" s="75">
        <v>24</v>
      </c>
      <c r="R168" s="75">
        <v>-1.375</v>
      </c>
      <c r="S168" s="75">
        <v>-2.0329999999999999</v>
      </c>
      <c r="T168" s="105">
        <v>-2.2010000000000001</v>
      </c>
      <c r="U168" s="104">
        <v>23.99</v>
      </c>
      <c r="V168" s="75">
        <v>24</v>
      </c>
      <c r="W168" s="75">
        <v>23.99</v>
      </c>
      <c r="X168" s="75">
        <v>-1.72</v>
      </c>
      <c r="Y168" s="75">
        <v>-2.661</v>
      </c>
      <c r="Z168" s="105">
        <v>-3.2719999999999998</v>
      </c>
      <c r="AA168" s="104">
        <v>8.15</v>
      </c>
      <c r="AB168" s="75">
        <v>8.1199999999999992</v>
      </c>
      <c r="AC168" s="75">
        <v>8.09</v>
      </c>
      <c r="AD168" s="75">
        <v>-4.1970000000000001</v>
      </c>
      <c r="AE168" s="75">
        <v>-6.3650000000000002</v>
      </c>
      <c r="AF168" s="105">
        <v>-5.8520000000000003</v>
      </c>
    </row>
    <row r="169" spans="2:32" x14ac:dyDescent="0.3">
      <c r="B169" s="111">
        <v>27.333333333333389</v>
      </c>
      <c r="C169" s="104">
        <v>8.2899999999999991</v>
      </c>
      <c r="D169" s="75">
        <v>8.24</v>
      </c>
      <c r="E169" s="75">
        <v>8.2200000000000006</v>
      </c>
      <c r="F169" s="75">
        <v>-6.7409999999999997</v>
      </c>
      <c r="G169" s="75">
        <v>-8.3800000000000008</v>
      </c>
      <c r="H169" s="105">
        <v>-8.6999999999999993</v>
      </c>
      <c r="I169" s="104">
        <v>8.23</v>
      </c>
      <c r="J169" s="75">
        <v>8.0500000000000007</v>
      </c>
      <c r="K169" s="75">
        <v>8.0399999999999991</v>
      </c>
      <c r="L169" s="75">
        <v>-5.3710000000000004</v>
      </c>
      <c r="M169" s="75">
        <v>-4.875</v>
      </c>
      <c r="N169" s="105">
        <v>-5.1520000000000001</v>
      </c>
      <c r="O169" s="104">
        <v>23.91</v>
      </c>
      <c r="P169" s="75">
        <v>23.93</v>
      </c>
      <c r="Q169" s="75">
        <v>23.92</v>
      </c>
      <c r="R169" s="75">
        <v>-1.3720000000000001</v>
      </c>
      <c r="S169" s="75">
        <v>-1.9770000000000001</v>
      </c>
      <c r="T169" s="105">
        <v>-2.0310000000000001</v>
      </c>
      <c r="U169" s="104">
        <v>23.92</v>
      </c>
      <c r="V169" s="75">
        <v>23.94</v>
      </c>
      <c r="W169" s="75">
        <v>23.91</v>
      </c>
      <c r="X169" s="75">
        <v>-2.2549999999999999</v>
      </c>
      <c r="Y169" s="75">
        <v>-2.0539999999999998</v>
      </c>
      <c r="Z169" s="105">
        <v>-2.9849999999999999</v>
      </c>
      <c r="AA169" s="104">
        <v>8.1300000000000008</v>
      </c>
      <c r="AB169" s="75">
        <v>8.08</v>
      </c>
      <c r="AC169" s="75">
        <v>8.0500000000000007</v>
      </c>
      <c r="AD169" s="75">
        <v>-5.298</v>
      </c>
      <c r="AE169" s="75">
        <v>-7.3339999999999996</v>
      </c>
      <c r="AF169" s="105">
        <v>-7.1559999999999997</v>
      </c>
    </row>
    <row r="170" spans="2:32" x14ac:dyDescent="0.3">
      <c r="B170" s="111">
        <v>27.500000000000057</v>
      </c>
      <c r="C170" s="104">
        <v>8.27</v>
      </c>
      <c r="D170" s="75">
        <v>8.19</v>
      </c>
      <c r="E170" s="75">
        <v>8.17</v>
      </c>
      <c r="F170" s="75">
        <v>-7.4480000000000004</v>
      </c>
      <c r="G170" s="75">
        <v>-9</v>
      </c>
      <c r="H170" s="105">
        <v>-9.42</v>
      </c>
      <c r="I170" s="104">
        <v>8.1300000000000008</v>
      </c>
      <c r="J170" s="75">
        <v>7.95</v>
      </c>
      <c r="K170" s="75">
        <v>7.93</v>
      </c>
      <c r="L170" s="75">
        <v>-4.9800000000000004</v>
      </c>
      <c r="M170" s="75">
        <v>-4.7140000000000004</v>
      </c>
      <c r="N170" s="105">
        <v>-5.2869999999999999</v>
      </c>
      <c r="O170" s="104">
        <v>23.84</v>
      </c>
      <c r="P170" s="75">
        <v>23.87</v>
      </c>
      <c r="Q170" s="75">
        <v>23.84</v>
      </c>
      <c r="R170" s="75">
        <v>-1.423</v>
      </c>
      <c r="S170" s="75">
        <v>-1.911</v>
      </c>
      <c r="T170" s="105">
        <v>-2.36</v>
      </c>
      <c r="U170" s="104">
        <v>23.83</v>
      </c>
      <c r="V170" s="75">
        <v>23.88</v>
      </c>
      <c r="W170" s="75">
        <v>23.84</v>
      </c>
      <c r="X170" s="75">
        <v>-1.7150000000000001</v>
      </c>
      <c r="Y170" s="75">
        <v>-2.6629999999999998</v>
      </c>
      <c r="Z170" s="105">
        <v>-3.274</v>
      </c>
      <c r="AA170" s="104">
        <v>8.1</v>
      </c>
      <c r="AB170" s="75">
        <v>8.0299999999999994</v>
      </c>
      <c r="AC170" s="75">
        <v>8.01</v>
      </c>
      <c r="AD170" s="75">
        <v>-6.3550000000000004</v>
      </c>
      <c r="AE170" s="75">
        <v>-8.3000000000000007</v>
      </c>
      <c r="AF170" s="105">
        <v>-7.9889999999999999</v>
      </c>
    </row>
    <row r="171" spans="2:32" x14ac:dyDescent="0.3">
      <c r="B171" s="111">
        <v>27.666666666666725</v>
      </c>
      <c r="C171" s="104">
        <v>8.2200000000000006</v>
      </c>
      <c r="D171" s="75">
        <v>8.15</v>
      </c>
      <c r="E171" s="75">
        <v>8.1199999999999992</v>
      </c>
      <c r="F171" s="75">
        <v>-8.44</v>
      </c>
      <c r="G171" s="75">
        <v>-9.2799999999999994</v>
      </c>
      <c r="H171" s="105">
        <v>-9.7799999999999994</v>
      </c>
      <c r="I171" s="104">
        <v>8.0299999999999994</v>
      </c>
      <c r="J171" s="75">
        <v>7.86</v>
      </c>
      <c r="K171" s="75">
        <v>7.83</v>
      </c>
      <c r="L171" s="75">
        <v>-4.68</v>
      </c>
      <c r="M171" s="75">
        <v>-4.5540000000000003</v>
      </c>
      <c r="N171" s="105">
        <v>-4.8239999999999998</v>
      </c>
      <c r="O171" s="104">
        <v>23.78</v>
      </c>
      <c r="P171" s="75">
        <v>23.78</v>
      </c>
      <c r="Q171" s="75">
        <v>23.78</v>
      </c>
      <c r="R171" s="75">
        <v>-1.3120000000000001</v>
      </c>
      <c r="S171" s="75">
        <v>-2.105</v>
      </c>
      <c r="T171" s="105">
        <v>-2.0870000000000002</v>
      </c>
      <c r="U171" s="104">
        <v>23.77</v>
      </c>
      <c r="V171" s="75">
        <v>23.8</v>
      </c>
      <c r="W171" s="75">
        <v>23.78</v>
      </c>
      <c r="X171" s="75">
        <v>-1.1970000000000001</v>
      </c>
      <c r="Y171" s="75">
        <v>-2.327</v>
      </c>
      <c r="Z171" s="105">
        <v>-3.3359999999999999</v>
      </c>
      <c r="AA171" s="104">
        <v>8.06</v>
      </c>
      <c r="AB171" s="75">
        <v>7.99</v>
      </c>
      <c r="AC171" s="75">
        <v>7.97</v>
      </c>
      <c r="AD171" s="75">
        <v>-7.5540000000000003</v>
      </c>
      <c r="AE171" s="75">
        <v>-8.74</v>
      </c>
      <c r="AF171" s="105">
        <v>-8.6489999999999991</v>
      </c>
    </row>
    <row r="172" spans="2:32" x14ac:dyDescent="0.3">
      <c r="B172" s="111">
        <v>27.833333333333393</v>
      </c>
      <c r="C172" s="104">
        <v>8.16</v>
      </c>
      <c r="D172" s="75">
        <v>8.09</v>
      </c>
      <c r="E172" s="75">
        <v>8.07</v>
      </c>
      <c r="F172" s="75">
        <v>-9.4499999999999993</v>
      </c>
      <c r="G172" s="75">
        <v>-9.89</v>
      </c>
      <c r="H172" s="105">
        <v>-10.08</v>
      </c>
      <c r="I172" s="104">
        <v>7.92</v>
      </c>
      <c r="J172" s="75">
        <v>7.77</v>
      </c>
      <c r="K172" s="75">
        <v>7.74</v>
      </c>
      <c r="L172" s="75">
        <v>-4.726</v>
      </c>
      <c r="M172" s="75">
        <v>-3.9049999999999998</v>
      </c>
      <c r="N172" s="105">
        <v>-4.34</v>
      </c>
      <c r="O172" s="104">
        <v>23.71</v>
      </c>
      <c r="P172" s="75">
        <v>23.72</v>
      </c>
      <c r="Q172" s="75">
        <v>23.71</v>
      </c>
      <c r="R172" s="75">
        <v>-1.3069999999999999</v>
      </c>
      <c r="S172" s="75">
        <v>-1.798</v>
      </c>
      <c r="T172" s="105">
        <v>-2.117</v>
      </c>
      <c r="U172" s="104">
        <v>23.7</v>
      </c>
      <c r="V172" s="75">
        <v>23.74</v>
      </c>
      <c r="W172" s="75">
        <v>23.71</v>
      </c>
      <c r="X172" s="75">
        <v>-1.7090000000000001</v>
      </c>
      <c r="Y172" s="75">
        <v>-2.665</v>
      </c>
      <c r="Z172" s="105">
        <v>-3.2759999999999998</v>
      </c>
      <c r="AA172" s="104">
        <v>8.01</v>
      </c>
      <c r="AB172" s="75">
        <v>7.95</v>
      </c>
      <c r="AC172" s="75">
        <v>7.93</v>
      </c>
      <c r="AD172" s="75">
        <v>-8.81</v>
      </c>
      <c r="AE172" s="75">
        <v>-9.4499999999999993</v>
      </c>
      <c r="AF172" s="105">
        <v>-9.0579999999999998</v>
      </c>
    </row>
    <row r="173" spans="2:32" x14ac:dyDescent="0.3">
      <c r="B173" s="111">
        <v>28.00000000000006</v>
      </c>
      <c r="C173" s="104">
        <v>8.11</v>
      </c>
      <c r="D173" s="75">
        <v>8.0399999999999991</v>
      </c>
      <c r="E173" s="75">
        <v>8.01</v>
      </c>
      <c r="F173" s="75">
        <v>-9.56</v>
      </c>
      <c r="G173" s="75">
        <v>-10.32</v>
      </c>
      <c r="H173" s="105">
        <v>-10.76</v>
      </c>
      <c r="I173" s="104">
        <v>7.83</v>
      </c>
      <c r="J173" s="75">
        <v>7.69</v>
      </c>
      <c r="K173" s="75">
        <v>7.65</v>
      </c>
      <c r="L173" s="75">
        <v>-4.673</v>
      </c>
      <c r="M173" s="75">
        <v>-3.653</v>
      </c>
      <c r="N173" s="105">
        <v>-3.7469999999999999</v>
      </c>
      <c r="O173" s="104">
        <v>23.64</v>
      </c>
      <c r="P173" s="75">
        <v>23.65</v>
      </c>
      <c r="Q173" s="75">
        <v>23.64</v>
      </c>
      <c r="R173" s="75">
        <v>-1.49</v>
      </c>
      <c r="S173" s="75">
        <v>-1.986</v>
      </c>
      <c r="T173" s="105">
        <v>-2.0369999999999999</v>
      </c>
      <c r="U173" s="104">
        <v>23.67</v>
      </c>
      <c r="V173" s="75">
        <v>23.67</v>
      </c>
      <c r="W173" s="75">
        <v>23.64</v>
      </c>
      <c r="X173" s="75">
        <v>-1.4830000000000001</v>
      </c>
      <c r="Y173" s="75">
        <v>-2.7130000000000001</v>
      </c>
      <c r="Z173" s="105">
        <v>-2.79</v>
      </c>
      <c r="AA173" s="104">
        <v>7.97</v>
      </c>
      <c r="AB173" s="75">
        <v>7.91</v>
      </c>
      <c r="AC173" s="75">
        <v>7.87</v>
      </c>
      <c r="AD173" s="75">
        <v>-9.1199999999999992</v>
      </c>
      <c r="AE173" s="75">
        <v>-10.02</v>
      </c>
      <c r="AF173" s="105">
        <v>-9.8019999999999996</v>
      </c>
    </row>
    <row r="174" spans="2:32" x14ac:dyDescent="0.3">
      <c r="B174" s="111">
        <v>28.166666666666728</v>
      </c>
      <c r="C174" s="104">
        <v>8.07</v>
      </c>
      <c r="D174" s="75">
        <v>7.99</v>
      </c>
      <c r="E174" s="75">
        <v>7.95</v>
      </c>
      <c r="F174" s="75">
        <v>-9.8699999999999992</v>
      </c>
      <c r="G174" s="75">
        <v>-10.79</v>
      </c>
      <c r="H174" s="105">
        <v>-11.28</v>
      </c>
      <c r="I174" s="104">
        <v>7.75</v>
      </c>
      <c r="J174" s="75">
        <v>7.61</v>
      </c>
      <c r="K174" s="75">
        <v>7.55</v>
      </c>
      <c r="L174" s="75">
        <v>-4.085</v>
      </c>
      <c r="M174" s="75">
        <v>-3.532</v>
      </c>
      <c r="N174" s="105">
        <v>-3.7469999999999999</v>
      </c>
      <c r="O174" s="104">
        <v>23.57</v>
      </c>
      <c r="P174" s="75">
        <v>23.58</v>
      </c>
      <c r="Q174" s="75">
        <v>23.57</v>
      </c>
      <c r="R174" s="75">
        <v>-1.948</v>
      </c>
      <c r="S174" s="75">
        <v>-2.286</v>
      </c>
      <c r="T174" s="105">
        <v>-2.4119999999999999</v>
      </c>
      <c r="U174" s="104">
        <v>23.56</v>
      </c>
      <c r="V174" s="75">
        <v>23.6</v>
      </c>
      <c r="W174" s="75">
        <v>23.56</v>
      </c>
      <c r="X174" s="75">
        <v>-1.7030000000000001</v>
      </c>
      <c r="Y174" s="75">
        <v>-2.6680000000000001</v>
      </c>
      <c r="Z174" s="105">
        <v>-3.2789999999999999</v>
      </c>
      <c r="AA174" s="104">
        <v>7.94</v>
      </c>
      <c r="AB174" s="75">
        <v>7.86</v>
      </c>
      <c r="AC174" s="75">
        <v>7.82</v>
      </c>
      <c r="AD174" s="75">
        <v>-9.5399999999999991</v>
      </c>
      <c r="AE174" s="75">
        <v>-10.61</v>
      </c>
      <c r="AF174" s="105">
        <v>-10.397</v>
      </c>
    </row>
    <row r="175" spans="2:32" x14ac:dyDescent="0.3">
      <c r="B175" s="111">
        <v>28.333333333333396</v>
      </c>
      <c r="C175" s="104">
        <v>8.02</v>
      </c>
      <c r="D175" s="75">
        <v>7.94</v>
      </c>
      <c r="E175" s="75">
        <v>7.9</v>
      </c>
      <c r="F175" s="75">
        <v>-10.35</v>
      </c>
      <c r="G175" s="75">
        <v>-11</v>
      </c>
      <c r="H175" s="105">
        <v>-11.6</v>
      </c>
      <c r="I175" s="104">
        <v>7.66</v>
      </c>
      <c r="J175" s="75">
        <v>7.53</v>
      </c>
      <c r="K175" s="75">
        <v>7.47</v>
      </c>
      <c r="L175" s="75">
        <v>-3.556</v>
      </c>
      <c r="M175" s="75">
        <v>-3.2690000000000001</v>
      </c>
      <c r="N175" s="105">
        <v>-3.5670000000000002</v>
      </c>
      <c r="O175" s="104">
        <v>23.5</v>
      </c>
      <c r="P175" s="75">
        <v>23.51</v>
      </c>
      <c r="Q175" s="75">
        <v>23.5</v>
      </c>
      <c r="R175" s="75">
        <v>-2.44</v>
      </c>
      <c r="S175" s="75">
        <v>-2.444</v>
      </c>
      <c r="T175" s="105">
        <v>-2.4609999999999999</v>
      </c>
      <c r="U175" s="104">
        <v>23.48</v>
      </c>
      <c r="V175" s="75">
        <v>23.52</v>
      </c>
      <c r="W175" s="75">
        <v>23.49</v>
      </c>
      <c r="X175" s="75">
        <v>-1.6919999999999999</v>
      </c>
      <c r="Y175" s="75">
        <v>-2.2029999999999998</v>
      </c>
      <c r="Z175" s="105">
        <v>-3.282</v>
      </c>
      <c r="AA175" s="104">
        <v>7.89</v>
      </c>
      <c r="AB175" s="75">
        <v>7.82</v>
      </c>
      <c r="AC175" s="75">
        <v>7.78</v>
      </c>
      <c r="AD175" s="75">
        <v>-10.199999999999999</v>
      </c>
      <c r="AE175" s="75">
        <v>-11.12</v>
      </c>
      <c r="AF175" s="105">
        <v>-10.983000000000001</v>
      </c>
    </row>
    <row r="176" spans="2:32" x14ac:dyDescent="0.3">
      <c r="B176" s="111">
        <v>28.500000000000064</v>
      </c>
      <c r="C176" s="104">
        <v>7.97</v>
      </c>
      <c r="D176" s="75">
        <v>7.88</v>
      </c>
      <c r="E176" s="75">
        <v>7.84</v>
      </c>
      <c r="F176" s="75">
        <v>-10.73</v>
      </c>
      <c r="G176" s="75">
        <v>-11.53</v>
      </c>
      <c r="H176" s="105">
        <v>-11.82</v>
      </c>
      <c r="I176" s="104">
        <v>7.58</v>
      </c>
      <c r="J176" s="75">
        <v>7.44</v>
      </c>
      <c r="K176" s="75">
        <v>7.39</v>
      </c>
      <c r="L176" s="75">
        <v>-3.22</v>
      </c>
      <c r="M176" s="75">
        <v>-3.077</v>
      </c>
      <c r="N176" s="105">
        <v>-3.2450000000000001</v>
      </c>
      <c r="O176" s="104">
        <v>23.45</v>
      </c>
      <c r="P176" s="75">
        <v>23.45</v>
      </c>
      <c r="Q176" s="75">
        <v>23.44</v>
      </c>
      <c r="R176" s="75">
        <v>-3.085</v>
      </c>
      <c r="S176" s="75">
        <v>-2.8540000000000001</v>
      </c>
      <c r="T176" s="105">
        <v>-2.798</v>
      </c>
      <c r="U176" s="104">
        <v>23.43</v>
      </c>
      <c r="V176" s="75">
        <v>23.45</v>
      </c>
      <c r="W176" s="75">
        <v>23.41</v>
      </c>
      <c r="X176" s="75">
        <v>-1.698</v>
      </c>
      <c r="Y176" s="75">
        <v>-2.67</v>
      </c>
      <c r="Z176" s="105">
        <v>-3.2810000000000001</v>
      </c>
      <c r="AA176" s="104">
        <v>7.85</v>
      </c>
      <c r="AB176" s="75">
        <v>7.77</v>
      </c>
      <c r="AC176" s="75">
        <v>7.73</v>
      </c>
      <c r="AD176" s="75">
        <v>-10.72</v>
      </c>
      <c r="AE176" s="75">
        <v>-11.88</v>
      </c>
      <c r="AF176" s="105">
        <v>-11.374000000000001</v>
      </c>
    </row>
    <row r="177" spans="2:32" x14ac:dyDescent="0.3">
      <c r="B177" s="111">
        <v>28.666666666666732</v>
      </c>
      <c r="C177" s="104">
        <v>7.92</v>
      </c>
      <c r="D177" s="75">
        <v>7.82</v>
      </c>
      <c r="E177" s="75">
        <v>7.79</v>
      </c>
      <c r="F177" s="75">
        <v>-11.08</v>
      </c>
      <c r="G177" s="75">
        <v>-11.7</v>
      </c>
      <c r="H177" s="105">
        <v>-12.13</v>
      </c>
      <c r="I177" s="104">
        <v>7.51</v>
      </c>
      <c r="J177" s="75">
        <v>7.36</v>
      </c>
      <c r="K177" s="75">
        <v>7.32</v>
      </c>
      <c r="L177" s="75">
        <v>-3.0990000000000002</v>
      </c>
      <c r="M177" s="75">
        <v>-3.153</v>
      </c>
      <c r="N177" s="105">
        <v>-2.9169999999999998</v>
      </c>
      <c r="O177" s="104">
        <v>23.4</v>
      </c>
      <c r="P177" s="75">
        <v>23.41</v>
      </c>
      <c r="Q177" s="75">
        <v>23.39</v>
      </c>
      <c r="R177" s="75">
        <v>-3.8170000000000002</v>
      </c>
      <c r="S177" s="75">
        <v>-3.4660000000000002</v>
      </c>
      <c r="T177" s="105">
        <v>-3.3650000000000002</v>
      </c>
      <c r="U177" s="104">
        <v>23.34</v>
      </c>
      <c r="V177" s="75">
        <v>23.37</v>
      </c>
      <c r="W177" s="75">
        <v>23.33</v>
      </c>
      <c r="X177" s="75">
        <v>-1.6419999999999999</v>
      </c>
      <c r="Y177" s="75">
        <v>-2.0960000000000001</v>
      </c>
      <c r="Z177" s="105">
        <v>-3.4180000000000001</v>
      </c>
      <c r="AA177" s="104">
        <v>7.81</v>
      </c>
      <c r="AB177" s="75">
        <v>7.72</v>
      </c>
      <c r="AC177" s="75">
        <v>7.69</v>
      </c>
      <c r="AD177" s="75">
        <v>-11.35</v>
      </c>
      <c r="AE177" s="75">
        <v>-12.45</v>
      </c>
      <c r="AF177" s="105">
        <v>-11.782999999999999</v>
      </c>
    </row>
    <row r="178" spans="2:32" x14ac:dyDescent="0.3">
      <c r="B178" s="111">
        <v>28.8333333333334</v>
      </c>
      <c r="C178" s="104">
        <v>7.86</v>
      </c>
      <c r="D178" s="75">
        <v>7.75</v>
      </c>
      <c r="E178" s="75">
        <v>7.72</v>
      </c>
      <c r="F178" s="75">
        <v>-11.34</v>
      </c>
      <c r="G178" s="75">
        <v>-12.17</v>
      </c>
      <c r="H178" s="105">
        <v>-12.58</v>
      </c>
      <c r="I178" s="104">
        <v>7.43</v>
      </c>
      <c r="J178" s="75">
        <v>7.28</v>
      </c>
      <c r="K178" s="75">
        <v>7.23</v>
      </c>
      <c r="L178" s="75">
        <v>-2.88</v>
      </c>
      <c r="M178" s="75">
        <v>-2.9809999999999999</v>
      </c>
      <c r="N178" s="105">
        <v>-2.8119999999999998</v>
      </c>
      <c r="O178" s="104">
        <v>23.38</v>
      </c>
      <c r="P178" s="75">
        <v>23.37</v>
      </c>
      <c r="Q178" s="75">
        <v>23.35</v>
      </c>
      <c r="R178" s="75">
        <v>-4.8689999999999998</v>
      </c>
      <c r="S178" s="75">
        <v>-4.2830000000000004</v>
      </c>
      <c r="T178" s="105">
        <v>-4.2539999999999996</v>
      </c>
      <c r="U178" s="104">
        <v>23.27</v>
      </c>
      <c r="V178" s="75">
        <v>23.3</v>
      </c>
      <c r="W178" s="75">
        <v>23.25</v>
      </c>
      <c r="X178" s="75">
        <v>-1.6919999999999999</v>
      </c>
      <c r="Y178" s="75">
        <v>-2.673</v>
      </c>
      <c r="Z178" s="105">
        <v>-3.2839999999999998</v>
      </c>
      <c r="AA178" s="104">
        <v>7.76</v>
      </c>
      <c r="AB178" s="75">
        <v>7.67</v>
      </c>
      <c r="AC178" s="75">
        <v>7.64</v>
      </c>
      <c r="AD178" s="75">
        <v>-11.9</v>
      </c>
      <c r="AE178" s="75">
        <v>-13.17</v>
      </c>
      <c r="AF178" s="105">
        <v>-12.462</v>
      </c>
    </row>
    <row r="179" spans="2:32" x14ac:dyDescent="0.3">
      <c r="B179" s="111">
        <v>29.000000000000068</v>
      </c>
      <c r="C179" s="104">
        <v>7.81</v>
      </c>
      <c r="D179" s="75">
        <v>7.7</v>
      </c>
      <c r="E179" s="75">
        <v>7.66</v>
      </c>
      <c r="F179" s="75">
        <v>-11.54</v>
      </c>
      <c r="G179" s="75">
        <v>-12.34</v>
      </c>
      <c r="H179" s="105">
        <v>-12.57</v>
      </c>
      <c r="I179" s="104">
        <v>7.36</v>
      </c>
      <c r="J179" s="75">
        <v>7.21</v>
      </c>
      <c r="K179" s="75">
        <v>7.15</v>
      </c>
      <c r="L179" s="75">
        <v>-2.8210000000000002</v>
      </c>
      <c r="M179" s="75">
        <v>-2.9889999999999999</v>
      </c>
      <c r="N179" s="105">
        <v>-2.964</v>
      </c>
      <c r="O179" s="104">
        <v>23.4</v>
      </c>
      <c r="P179" s="75">
        <v>23.36</v>
      </c>
      <c r="Q179" s="75">
        <v>23.35</v>
      </c>
      <c r="R179" s="75">
        <v>-6.9409999999999998</v>
      </c>
      <c r="S179" s="75">
        <v>-5.391</v>
      </c>
      <c r="T179" s="105">
        <v>-4.915</v>
      </c>
      <c r="U179" s="104">
        <v>23.22</v>
      </c>
      <c r="V179" s="75">
        <v>23.22</v>
      </c>
      <c r="W179" s="75">
        <v>23.18</v>
      </c>
      <c r="X179" s="75">
        <v>-1.7789999999999999</v>
      </c>
      <c r="Y179" s="75">
        <v>-2.3460000000000001</v>
      </c>
      <c r="Z179" s="105">
        <v>-3.306</v>
      </c>
      <c r="AA179" s="104">
        <v>7.72</v>
      </c>
      <c r="AB179" s="75">
        <v>7.63</v>
      </c>
      <c r="AC179" s="75">
        <v>7.6</v>
      </c>
      <c r="AD179" s="75">
        <v>-12.29</v>
      </c>
      <c r="AE179" s="75">
        <v>-13.42</v>
      </c>
      <c r="AF179" s="105">
        <v>-12.685</v>
      </c>
    </row>
    <row r="180" spans="2:32" x14ac:dyDescent="0.3">
      <c r="B180" s="111">
        <v>29.166666666666735</v>
      </c>
      <c r="C180" s="104">
        <v>7.75</v>
      </c>
      <c r="D180" s="75">
        <v>7.63</v>
      </c>
      <c r="E180" s="75">
        <v>7.6</v>
      </c>
      <c r="F180" s="75">
        <v>-11.78</v>
      </c>
      <c r="G180" s="75">
        <v>-12.37</v>
      </c>
      <c r="H180" s="105">
        <v>-12.66</v>
      </c>
      <c r="I180" s="104">
        <v>7.28</v>
      </c>
      <c r="J180" s="75">
        <v>7.13</v>
      </c>
      <c r="K180" s="75">
        <v>7.08</v>
      </c>
      <c r="L180" s="75">
        <v>-2.5680000000000001</v>
      </c>
      <c r="M180" s="75">
        <v>-2.6579999999999999</v>
      </c>
      <c r="N180" s="105">
        <v>-2.581</v>
      </c>
      <c r="O180" s="104">
        <v>23.42</v>
      </c>
      <c r="P180" s="75">
        <v>23.41</v>
      </c>
      <c r="Q180" s="75">
        <v>23.38</v>
      </c>
      <c r="R180" s="75">
        <v>-8.7799999999999994</v>
      </c>
      <c r="S180" s="75">
        <v>-7.4859999999999998</v>
      </c>
      <c r="T180" s="105">
        <v>-6.8620000000000001</v>
      </c>
      <c r="U180" s="104">
        <v>23.12</v>
      </c>
      <c r="V180" s="75">
        <v>23.16</v>
      </c>
      <c r="W180" s="75">
        <v>23.1</v>
      </c>
      <c r="X180" s="75">
        <v>-1.6859999999999999</v>
      </c>
      <c r="Y180" s="75">
        <v>-2.6749999999999998</v>
      </c>
      <c r="Z180" s="105">
        <v>-3.286</v>
      </c>
      <c r="AA180" s="104">
        <v>7.67</v>
      </c>
      <c r="AB180" s="75">
        <v>7.57</v>
      </c>
      <c r="AC180" s="75">
        <v>7.55</v>
      </c>
      <c r="AD180" s="75">
        <v>-12.89</v>
      </c>
      <c r="AE180" s="75">
        <v>-13.9</v>
      </c>
      <c r="AF180" s="105">
        <v>-13.16</v>
      </c>
    </row>
    <row r="181" spans="2:32" x14ac:dyDescent="0.3">
      <c r="B181" s="111">
        <v>29.333333333333403</v>
      </c>
      <c r="C181" s="104">
        <v>7.69</v>
      </c>
      <c r="D181" s="75">
        <v>7.57</v>
      </c>
      <c r="E181" s="75">
        <v>7.53</v>
      </c>
      <c r="F181" s="75">
        <v>-12.2</v>
      </c>
      <c r="G181" s="75">
        <v>-12.69</v>
      </c>
      <c r="H181" s="105">
        <v>-12.91</v>
      </c>
      <c r="I181" s="104">
        <v>7.21</v>
      </c>
      <c r="J181" s="75">
        <v>7.06</v>
      </c>
      <c r="K181" s="75">
        <v>7.01</v>
      </c>
      <c r="L181" s="75">
        <v>-2.56</v>
      </c>
      <c r="M181" s="75">
        <v>-2.5209999999999999</v>
      </c>
      <c r="N181" s="105">
        <v>-2.5089999999999999</v>
      </c>
      <c r="O181" s="104">
        <v>23.42</v>
      </c>
      <c r="P181" s="75">
        <v>23.44</v>
      </c>
      <c r="Q181" s="75">
        <v>23.41</v>
      </c>
      <c r="R181" s="75">
        <v>-10.08</v>
      </c>
      <c r="S181" s="75">
        <v>-9.52</v>
      </c>
      <c r="T181" s="105">
        <v>-9.07</v>
      </c>
      <c r="U181" s="104">
        <v>23.05</v>
      </c>
      <c r="V181" s="75">
        <v>23.08</v>
      </c>
      <c r="W181" s="75">
        <v>23.03</v>
      </c>
      <c r="X181" s="75">
        <v>-1.002</v>
      </c>
      <c r="Y181" s="75">
        <v>-3.0990000000000002</v>
      </c>
      <c r="Z181" s="105">
        <v>-3.7810000000000001</v>
      </c>
      <c r="AA181" s="104">
        <v>7.62</v>
      </c>
      <c r="AB181" s="75">
        <v>7.53</v>
      </c>
      <c r="AC181" s="75">
        <v>7.5</v>
      </c>
      <c r="AD181" s="75">
        <v>-13.53</v>
      </c>
      <c r="AE181" s="75">
        <v>-14.55</v>
      </c>
      <c r="AF181" s="105">
        <v>-13.773</v>
      </c>
    </row>
    <row r="182" spans="2:32" x14ac:dyDescent="0.3">
      <c r="B182" s="111">
        <v>29.500000000000071</v>
      </c>
      <c r="C182" s="104">
        <v>7.63</v>
      </c>
      <c r="D182" s="75">
        <v>7.51</v>
      </c>
      <c r="E182" s="75">
        <v>7.46</v>
      </c>
      <c r="F182" s="75">
        <v>-12.35</v>
      </c>
      <c r="G182" s="75">
        <v>-12.72</v>
      </c>
      <c r="H182" s="105">
        <v>-13.06</v>
      </c>
      <c r="I182" s="104">
        <v>7.14</v>
      </c>
      <c r="J182" s="75">
        <v>6.98</v>
      </c>
      <c r="K182" s="75">
        <v>6.93</v>
      </c>
      <c r="L182" s="75">
        <v>-2.6779999999999999</v>
      </c>
      <c r="M182" s="75">
        <v>-2.5419999999999998</v>
      </c>
      <c r="N182" s="105">
        <v>-2.5779999999999998</v>
      </c>
      <c r="O182" s="104">
        <v>23.4</v>
      </c>
      <c r="P182" s="75">
        <v>23.43</v>
      </c>
      <c r="Q182" s="75">
        <v>23.41</v>
      </c>
      <c r="R182" s="75">
        <v>-11.07</v>
      </c>
      <c r="S182" s="75">
        <v>-11.03</v>
      </c>
      <c r="T182" s="105">
        <v>-10.49</v>
      </c>
      <c r="U182" s="104">
        <v>23.05</v>
      </c>
      <c r="V182" s="75">
        <v>23.01</v>
      </c>
      <c r="W182" s="75">
        <v>22.95</v>
      </c>
      <c r="X182" s="75">
        <v>-1.681</v>
      </c>
      <c r="Y182" s="75">
        <v>-2.677</v>
      </c>
      <c r="Z182" s="105">
        <v>-3.2879999999999998</v>
      </c>
      <c r="AA182" s="104">
        <v>7.58</v>
      </c>
      <c r="AB182" s="75">
        <v>7.48</v>
      </c>
      <c r="AC182" s="75">
        <v>7.45</v>
      </c>
      <c r="AD182" s="75">
        <v>-13.93</v>
      </c>
      <c r="AE182" s="75">
        <v>-15.08</v>
      </c>
      <c r="AF182" s="105">
        <v>-14.08</v>
      </c>
    </row>
    <row r="183" spans="2:32" x14ac:dyDescent="0.3">
      <c r="B183" s="111">
        <v>29.666666666666739</v>
      </c>
      <c r="C183" s="104">
        <v>7.56</v>
      </c>
      <c r="D183" s="75">
        <v>7.44</v>
      </c>
      <c r="E183" s="75">
        <v>7.4</v>
      </c>
      <c r="F183" s="75">
        <v>-12.57</v>
      </c>
      <c r="G183" s="75">
        <v>-12.79</v>
      </c>
      <c r="H183" s="105">
        <v>-13.1</v>
      </c>
      <c r="I183" s="104">
        <v>7.06</v>
      </c>
      <c r="J183" s="75">
        <v>6.91</v>
      </c>
      <c r="K183" s="75">
        <v>6.86</v>
      </c>
      <c r="L183" s="75">
        <v>-2.512</v>
      </c>
      <c r="M183" s="75">
        <v>-2.5550000000000002</v>
      </c>
      <c r="N183" s="105">
        <v>-2.4510000000000001</v>
      </c>
      <c r="O183" s="104">
        <v>23.36</v>
      </c>
      <c r="P183" s="75">
        <v>23.4</v>
      </c>
      <c r="Q183" s="75">
        <v>23.38</v>
      </c>
      <c r="R183" s="75">
        <v>-11.67</v>
      </c>
      <c r="S183" s="75">
        <v>-11.86</v>
      </c>
      <c r="T183" s="105">
        <v>-11.33</v>
      </c>
      <c r="U183" s="104">
        <v>22.9</v>
      </c>
      <c r="V183" s="75">
        <v>22.93</v>
      </c>
      <c r="W183" s="75">
        <v>22.88</v>
      </c>
      <c r="X183" s="75">
        <v>-1.236</v>
      </c>
      <c r="Y183" s="75">
        <v>-2.8170000000000002</v>
      </c>
      <c r="Z183" s="105">
        <v>-2.8940000000000001</v>
      </c>
      <c r="AA183" s="104">
        <v>7.53</v>
      </c>
      <c r="AB183" s="75">
        <v>7.43</v>
      </c>
      <c r="AC183" s="75">
        <v>7.4</v>
      </c>
      <c r="AD183" s="75">
        <v>-14.63</v>
      </c>
      <c r="AE183" s="75">
        <v>-15.37</v>
      </c>
      <c r="AF183" s="105">
        <v>-14.666</v>
      </c>
    </row>
    <row r="184" spans="2:32" x14ac:dyDescent="0.3">
      <c r="B184" s="111">
        <v>29.833333333333407</v>
      </c>
      <c r="C184" s="104">
        <v>7.49</v>
      </c>
      <c r="D184" s="75">
        <v>7.38</v>
      </c>
      <c r="E184" s="75">
        <v>7.33</v>
      </c>
      <c r="F184" s="75">
        <v>-12.43</v>
      </c>
      <c r="G184" s="75">
        <v>-12.42</v>
      </c>
      <c r="H184" s="105">
        <v>-13.22</v>
      </c>
      <c r="I184" s="104">
        <v>6.98</v>
      </c>
      <c r="J184" s="75">
        <v>6.84</v>
      </c>
      <c r="K184" s="75">
        <v>6.78</v>
      </c>
      <c r="L184" s="75">
        <v>-2.5910000000000002</v>
      </c>
      <c r="M184" s="75">
        <v>-2.399</v>
      </c>
      <c r="N184" s="105">
        <v>-2.5409999999999999</v>
      </c>
      <c r="O184" s="104">
        <v>23.32</v>
      </c>
      <c r="P184" s="75">
        <v>23.36</v>
      </c>
      <c r="Q184" s="75">
        <v>23.33</v>
      </c>
      <c r="R184" s="75">
        <v>-12.07</v>
      </c>
      <c r="S184" s="75">
        <v>-12.56</v>
      </c>
      <c r="T184" s="105">
        <v>-12</v>
      </c>
      <c r="U184" s="104">
        <v>22.83</v>
      </c>
      <c r="V184" s="75">
        <v>22.86</v>
      </c>
      <c r="W184" s="75">
        <v>22.8</v>
      </c>
      <c r="X184" s="75">
        <v>-1.675</v>
      </c>
      <c r="Y184" s="75">
        <v>-2.68</v>
      </c>
      <c r="Z184" s="105">
        <v>-3.2909999999999999</v>
      </c>
      <c r="AA184" s="104">
        <v>7.47</v>
      </c>
      <c r="AB184" s="75">
        <v>7.38</v>
      </c>
      <c r="AC184" s="75">
        <v>7.35</v>
      </c>
      <c r="AD184" s="75">
        <v>-14.93</v>
      </c>
      <c r="AE184" s="75">
        <v>-15.73</v>
      </c>
      <c r="AF184" s="105">
        <v>-15.066000000000001</v>
      </c>
    </row>
    <row r="185" spans="2:32" x14ac:dyDescent="0.3">
      <c r="B185" s="111">
        <v>30.000000000000075</v>
      </c>
      <c r="C185" s="104">
        <v>7.43</v>
      </c>
      <c r="D185" s="75">
        <v>7.31</v>
      </c>
      <c r="E185" s="75">
        <v>7.24</v>
      </c>
      <c r="F185" s="75">
        <v>-12.78</v>
      </c>
      <c r="G185" s="75">
        <v>-12.71</v>
      </c>
      <c r="H185" s="105">
        <v>-13.44</v>
      </c>
      <c r="I185" s="104">
        <v>6.91</v>
      </c>
      <c r="J185" s="75">
        <v>6.77</v>
      </c>
      <c r="K185" s="75">
        <v>6.69</v>
      </c>
      <c r="L185" s="75">
        <v>-2.452</v>
      </c>
      <c r="M185" s="75">
        <v>-2.2440000000000002</v>
      </c>
      <c r="N185" s="105">
        <v>-2.5459999999999998</v>
      </c>
      <c r="O185" s="104">
        <v>23.27</v>
      </c>
      <c r="P185" s="75">
        <v>23.31</v>
      </c>
      <c r="Q185" s="75">
        <v>23.28</v>
      </c>
      <c r="R185" s="75">
        <v>-12.53</v>
      </c>
      <c r="S185" s="75">
        <v>-13</v>
      </c>
      <c r="T185" s="105">
        <v>-12.8</v>
      </c>
      <c r="U185" s="104">
        <v>22.77</v>
      </c>
      <c r="V185" s="75">
        <v>22.79</v>
      </c>
      <c r="W185" s="75">
        <v>22.72</v>
      </c>
      <c r="X185" s="75">
        <v>-1.8149999999999999</v>
      </c>
      <c r="Y185" s="75">
        <v>-2.3439999999999999</v>
      </c>
      <c r="Z185" s="105">
        <v>-3.6859999999999999</v>
      </c>
      <c r="AA185" s="104">
        <v>7.42</v>
      </c>
      <c r="AB185" s="75">
        <v>7.34</v>
      </c>
      <c r="AC185" s="75">
        <v>7.28</v>
      </c>
      <c r="AD185" s="75">
        <v>-15.51</v>
      </c>
      <c r="AE185" s="75">
        <v>-16.32</v>
      </c>
      <c r="AF185" s="105">
        <v>-15.81</v>
      </c>
    </row>
    <row r="186" spans="2:32" x14ac:dyDescent="0.3">
      <c r="B186" s="111">
        <v>30.166666666666742</v>
      </c>
      <c r="C186" s="104">
        <v>7.34</v>
      </c>
      <c r="D186" s="75">
        <v>7.21</v>
      </c>
      <c r="E186" s="75">
        <v>7.15</v>
      </c>
      <c r="F186" s="75">
        <v>-13.16</v>
      </c>
      <c r="G186" s="75">
        <v>-13.12</v>
      </c>
      <c r="H186" s="105">
        <v>-13.3</v>
      </c>
      <c r="I186" s="104">
        <v>6.83</v>
      </c>
      <c r="J186" s="75">
        <v>6.68</v>
      </c>
      <c r="K186" s="75">
        <v>6.6</v>
      </c>
      <c r="L186" s="75">
        <v>-2.5550000000000002</v>
      </c>
      <c r="M186" s="75">
        <v>-2.3340000000000001</v>
      </c>
      <c r="N186" s="105">
        <v>-2.831</v>
      </c>
      <c r="O186" s="104">
        <v>23.22</v>
      </c>
      <c r="P186" s="75">
        <v>23.26</v>
      </c>
      <c r="Q186" s="75">
        <v>23.23</v>
      </c>
      <c r="R186" s="75">
        <v>-12.93</v>
      </c>
      <c r="S186" s="75">
        <v>-13.54</v>
      </c>
      <c r="T186" s="105">
        <v>-13.11</v>
      </c>
      <c r="U186" s="104">
        <v>22.68</v>
      </c>
      <c r="V186" s="75">
        <v>22.71</v>
      </c>
      <c r="W186" s="75">
        <v>22.65</v>
      </c>
      <c r="X186" s="75">
        <v>-1.649</v>
      </c>
      <c r="Y186" s="75">
        <v>-2.6819999999999999</v>
      </c>
      <c r="Z186" s="105">
        <v>-3.2930000000000001</v>
      </c>
      <c r="AA186" s="104">
        <v>7.37</v>
      </c>
      <c r="AB186" s="75">
        <v>7.26</v>
      </c>
      <c r="AC186" s="75">
        <v>7.21</v>
      </c>
      <c r="AD186" s="75">
        <v>-16.440000000000001</v>
      </c>
      <c r="AE186" s="75">
        <v>-17.13</v>
      </c>
      <c r="AF186" s="105">
        <v>-16.303000000000001</v>
      </c>
    </row>
    <row r="187" spans="2:32" x14ac:dyDescent="0.3">
      <c r="B187" s="111">
        <v>30.33333333333341</v>
      </c>
      <c r="C187" s="104">
        <v>7.25</v>
      </c>
      <c r="D187" s="75">
        <v>7.14</v>
      </c>
      <c r="E187" s="75">
        <v>7.08</v>
      </c>
      <c r="F187" s="75">
        <v>-13.32</v>
      </c>
      <c r="G187" s="75">
        <v>-12.95</v>
      </c>
      <c r="H187" s="105">
        <v>-13.38</v>
      </c>
      <c r="I187" s="104">
        <v>6.74</v>
      </c>
      <c r="J187" s="75">
        <v>6.6</v>
      </c>
      <c r="K187" s="75">
        <v>6.53</v>
      </c>
      <c r="L187" s="75">
        <v>-2.9769999999999999</v>
      </c>
      <c r="M187" s="75">
        <v>-2.8809999999999998</v>
      </c>
      <c r="N187" s="105">
        <v>-2.7650000000000001</v>
      </c>
      <c r="O187" s="104">
        <v>23.17</v>
      </c>
      <c r="P187" s="75">
        <v>23.2</v>
      </c>
      <c r="Q187" s="75">
        <v>23.19</v>
      </c>
      <c r="R187" s="75">
        <v>-13.44</v>
      </c>
      <c r="S187" s="75">
        <v>-13.94</v>
      </c>
      <c r="T187" s="105">
        <v>-13.38</v>
      </c>
      <c r="U187" s="104">
        <v>22.61</v>
      </c>
      <c r="V187" s="75">
        <v>22.64</v>
      </c>
      <c r="W187" s="75">
        <v>22.58</v>
      </c>
      <c r="X187" s="75">
        <v>-1.7210000000000001</v>
      </c>
      <c r="Y187" s="75">
        <v>-2.6619999999999999</v>
      </c>
      <c r="Z187" s="105">
        <v>-3.5990000000000002</v>
      </c>
      <c r="AA187" s="104">
        <v>7.3</v>
      </c>
      <c r="AB187" s="75">
        <v>7.2</v>
      </c>
      <c r="AC187" s="75">
        <v>7.16</v>
      </c>
      <c r="AD187" s="75">
        <v>-17.149999999999999</v>
      </c>
      <c r="AE187" s="75">
        <v>-17.54</v>
      </c>
      <c r="AF187" s="105">
        <v>-16.702999999999999</v>
      </c>
    </row>
    <row r="188" spans="2:32" x14ac:dyDescent="0.3">
      <c r="B188" s="111">
        <v>30.500000000000078</v>
      </c>
      <c r="C188" s="104">
        <v>7.17</v>
      </c>
      <c r="D188" s="75">
        <v>7.06</v>
      </c>
      <c r="E188" s="75">
        <v>7</v>
      </c>
      <c r="F188" s="75">
        <v>-13.33</v>
      </c>
      <c r="G188" s="75">
        <v>-12.84</v>
      </c>
      <c r="H188" s="105">
        <v>-13.13</v>
      </c>
      <c r="I188" s="104">
        <v>6.65</v>
      </c>
      <c r="J188" s="75">
        <v>6.53</v>
      </c>
      <c r="K188" s="75">
        <v>6.44</v>
      </c>
      <c r="L188" s="75">
        <v>-3.0760000000000001</v>
      </c>
      <c r="M188" s="75">
        <v>-2.6659999999999999</v>
      </c>
      <c r="N188" s="105">
        <v>-2.4849999999999999</v>
      </c>
      <c r="O188" s="104">
        <v>23.12</v>
      </c>
      <c r="P188" s="75">
        <v>23.13</v>
      </c>
      <c r="Q188" s="75">
        <v>23.13</v>
      </c>
      <c r="R188" s="75">
        <v>-13.74</v>
      </c>
      <c r="S188" s="75">
        <v>-14.55</v>
      </c>
      <c r="T188" s="105">
        <v>-13.81</v>
      </c>
      <c r="U188" s="104">
        <v>22.54</v>
      </c>
      <c r="V188" s="75">
        <v>22.56</v>
      </c>
      <c r="W188" s="75">
        <v>22.52</v>
      </c>
      <c r="X188" s="75">
        <v>-1.6479999999999999</v>
      </c>
      <c r="Y188" s="75">
        <v>-2.6840000000000002</v>
      </c>
      <c r="Z188" s="105">
        <v>-3.2949999999999999</v>
      </c>
      <c r="AA188" s="104">
        <v>7.24</v>
      </c>
      <c r="AB188" s="75">
        <v>7.15</v>
      </c>
      <c r="AC188" s="75">
        <v>7.1</v>
      </c>
      <c r="AD188" s="75">
        <v>-17.649999999999999</v>
      </c>
      <c r="AE188" s="75">
        <v>-17.72</v>
      </c>
      <c r="AF188" s="105">
        <v>-17.074999999999999</v>
      </c>
    </row>
    <row r="189" spans="2:32" x14ac:dyDescent="0.3">
      <c r="B189" s="111">
        <v>30.666666666666746</v>
      </c>
      <c r="C189" s="104">
        <v>7.09</v>
      </c>
      <c r="D189" s="75">
        <v>6.99</v>
      </c>
      <c r="E189" s="75">
        <v>6.91</v>
      </c>
      <c r="F189" s="75">
        <v>-13.04</v>
      </c>
      <c r="G189" s="75">
        <v>-12.47</v>
      </c>
      <c r="H189" s="105">
        <v>-12.9</v>
      </c>
      <c r="I189" s="104">
        <v>6.57</v>
      </c>
      <c r="J189" s="75">
        <v>6.45</v>
      </c>
      <c r="K189" s="75">
        <v>6.37</v>
      </c>
      <c r="L189" s="75">
        <v>-3.008</v>
      </c>
      <c r="M189" s="75">
        <v>-2.5369999999999999</v>
      </c>
      <c r="N189" s="105">
        <v>-2.6019999999999999</v>
      </c>
      <c r="O189" s="104">
        <v>23.04</v>
      </c>
      <c r="P189" s="75">
        <v>23.05</v>
      </c>
      <c r="Q189" s="75">
        <v>23.04</v>
      </c>
      <c r="R189" s="75">
        <v>-14.69</v>
      </c>
      <c r="S189" s="75">
        <v>-14.9</v>
      </c>
      <c r="T189" s="105">
        <v>-14.79</v>
      </c>
      <c r="U189" s="104">
        <v>22.47</v>
      </c>
      <c r="V189" s="75">
        <v>22.48</v>
      </c>
      <c r="W189" s="75">
        <v>22.43</v>
      </c>
      <c r="X189" s="75">
        <v>-2.347</v>
      </c>
      <c r="Y189" s="75">
        <v>-2.1320000000000001</v>
      </c>
      <c r="Z189" s="105">
        <v>-3.2410000000000001</v>
      </c>
      <c r="AA189" s="104">
        <v>7.19</v>
      </c>
      <c r="AB189" s="75">
        <v>7.1</v>
      </c>
      <c r="AC189" s="75">
        <v>7.04</v>
      </c>
      <c r="AD189" s="75">
        <v>-17.87</v>
      </c>
      <c r="AE189" s="75">
        <v>-17.98</v>
      </c>
      <c r="AF189" s="105">
        <v>-17.363</v>
      </c>
    </row>
    <row r="190" spans="2:32" x14ac:dyDescent="0.3">
      <c r="B190" s="111">
        <v>30.833333333333414</v>
      </c>
      <c r="C190" s="104">
        <v>7.03</v>
      </c>
      <c r="D190" s="75">
        <v>6.9</v>
      </c>
      <c r="E190" s="75">
        <v>6.84</v>
      </c>
      <c r="F190" s="75">
        <v>-12.41</v>
      </c>
      <c r="G190" s="75">
        <v>-12.26</v>
      </c>
      <c r="H190" s="105">
        <v>-12.59</v>
      </c>
      <c r="I190" s="104">
        <v>6.5</v>
      </c>
      <c r="J190" s="75">
        <v>6.38</v>
      </c>
      <c r="K190" s="75">
        <v>6.3</v>
      </c>
      <c r="L190" s="75">
        <v>-2.7240000000000002</v>
      </c>
      <c r="M190" s="75">
        <v>-2.1869999999999998</v>
      </c>
      <c r="N190" s="105">
        <v>-2.3879999999999999</v>
      </c>
      <c r="O190" s="104">
        <v>22.96</v>
      </c>
      <c r="P190" s="75">
        <v>22.97</v>
      </c>
      <c r="Q190" s="75">
        <v>22.96</v>
      </c>
      <c r="R190" s="75">
        <v>-14.92</v>
      </c>
      <c r="S190" s="75">
        <v>-15.08</v>
      </c>
      <c r="T190" s="105">
        <v>-15</v>
      </c>
      <c r="U190" s="104">
        <v>22.39</v>
      </c>
      <c r="V190" s="75">
        <v>22.39</v>
      </c>
      <c r="W190" s="75">
        <v>22.34</v>
      </c>
      <c r="X190" s="75">
        <v>-2.1179999999999999</v>
      </c>
      <c r="Y190" s="75">
        <v>-2.6869999999999998</v>
      </c>
      <c r="Z190" s="105">
        <v>-3.298</v>
      </c>
      <c r="AA190" s="104">
        <v>7.15</v>
      </c>
      <c r="AB190" s="75">
        <v>7.04</v>
      </c>
      <c r="AC190" s="75">
        <v>6.99</v>
      </c>
      <c r="AD190" s="75">
        <v>-17.79</v>
      </c>
      <c r="AE190" s="75">
        <v>-18.38</v>
      </c>
      <c r="AF190" s="105">
        <v>-17.437999999999999</v>
      </c>
    </row>
    <row r="191" spans="2:32" x14ac:dyDescent="0.3">
      <c r="B191" s="111">
        <v>31.000000000000082</v>
      </c>
      <c r="C191" s="104">
        <v>6.96</v>
      </c>
      <c r="D191" s="75">
        <v>6.82</v>
      </c>
      <c r="E191" s="75">
        <v>6.74</v>
      </c>
      <c r="F191" s="75">
        <v>-12.24</v>
      </c>
      <c r="G191" s="75">
        <v>-12.07</v>
      </c>
      <c r="H191" s="105">
        <v>-12.29</v>
      </c>
      <c r="I191" s="104">
        <v>6.44</v>
      </c>
      <c r="J191" s="75">
        <v>6.3</v>
      </c>
      <c r="K191" s="75">
        <v>6.22</v>
      </c>
      <c r="L191" s="75">
        <v>-1.9730000000000001</v>
      </c>
      <c r="M191" s="75">
        <v>-2.419</v>
      </c>
      <c r="N191" s="105">
        <v>-2.2490000000000001</v>
      </c>
      <c r="O191" s="104">
        <v>22.89</v>
      </c>
      <c r="P191" s="75">
        <v>22.9</v>
      </c>
      <c r="Q191" s="75">
        <v>22.89</v>
      </c>
      <c r="R191" s="75">
        <v>-15.17</v>
      </c>
      <c r="S191" s="75">
        <v>-15.22</v>
      </c>
      <c r="T191" s="105">
        <v>-15.04</v>
      </c>
      <c r="U191" s="104">
        <v>22.33</v>
      </c>
      <c r="V191" s="75">
        <v>22.31</v>
      </c>
      <c r="W191" s="75">
        <v>22.26</v>
      </c>
      <c r="X191" s="75">
        <v>-1.976</v>
      </c>
      <c r="Y191" s="75">
        <v>-2.0059999999999998</v>
      </c>
      <c r="Z191" s="105">
        <v>-3.105</v>
      </c>
      <c r="AA191" s="104">
        <v>7.09</v>
      </c>
      <c r="AB191" s="75">
        <v>6.97</v>
      </c>
      <c r="AC191" s="75">
        <v>6.92</v>
      </c>
      <c r="AD191" s="75">
        <v>-18.190000000000001</v>
      </c>
      <c r="AE191" s="75">
        <v>-18.8</v>
      </c>
      <c r="AF191" s="105">
        <v>-17.754000000000001</v>
      </c>
    </row>
    <row r="192" spans="2:32" x14ac:dyDescent="0.3">
      <c r="B192" s="111">
        <v>31.16666666666675</v>
      </c>
      <c r="C192" s="104">
        <v>6.87</v>
      </c>
      <c r="D192" s="75">
        <v>6.73</v>
      </c>
      <c r="E192" s="75">
        <v>6.67</v>
      </c>
      <c r="F192" s="75">
        <v>-12.17</v>
      </c>
      <c r="G192" s="75">
        <v>-11.97</v>
      </c>
      <c r="H192" s="105">
        <v>-11.93</v>
      </c>
      <c r="I192" s="104">
        <v>6.36</v>
      </c>
      <c r="J192" s="75">
        <v>6.22</v>
      </c>
      <c r="K192" s="75">
        <v>6.14</v>
      </c>
      <c r="L192" s="75">
        <v>-2.137</v>
      </c>
      <c r="M192" s="75">
        <v>-2.395</v>
      </c>
      <c r="N192" s="105">
        <v>-2.3260000000000001</v>
      </c>
      <c r="O192" s="104">
        <v>22.83</v>
      </c>
      <c r="P192" s="75">
        <v>22.84</v>
      </c>
      <c r="Q192" s="75">
        <v>22.83</v>
      </c>
      <c r="R192" s="75">
        <v>-15.35</v>
      </c>
      <c r="S192" s="75">
        <v>-15.32</v>
      </c>
      <c r="T192" s="105">
        <v>-15.11</v>
      </c>
      <c r="U192" s="104">
        <v>22.25</v>
      </c>
      <c r="V192" s="75">
        <v>22.24</v>
      </c>
      <c r="W192" s="75">
        <v>22.19</v>
      </c>
      <c r="X192" s="75">
        <v>-1.8959999999999999</v>
      </c>
      <c r="Y192" s="75">
        <v>-2.5880000000000001</v>
      </c>
      <c r="Z192" s="105">
        <v>-3.137</v>
      </c>
      <c r="AA192" s="104">
        <v>7.02</v>
      </c>
      <c r="AB192" s="75">
        <v>6.91</v>
      </c>
      <c r="AC192" s="75">
        <v>6.86</v>
      </c>
      <c r="AD192" s="75">
        <v>-18.579999999999998</v>
      </c>
      <c r="AE192" s="75">
        <v>-19.079999999999998</v>
      </c>
      <c r="AF192" s="105">
        <v>-18.004999999999999</v>
      </c>
    </row>
    <row r="193" spans="2:32" x14ac:dyDescent="0.3">
      <c r="B193" s="111">
        <v>31.333333333333417</v>
      </c>
      <c r="C193" s="104">
        <v>6.78</v>
      </c>
      <c r="D193" s="75">
        <v>6.65</v>
      </c>
      <c r="E193" s="75">
        <v>6.58</v>
      </c>
      <c r="F193" s="75">
        <v>-11.92</v>
      </c>
      <c r="G193" s="75">
        <v>-11.48</v>
      </c>
      <c r="H193" s="105">
        <v>-11.6</v>
      </c>
      <c r="I193" s="104">
        <v>6.28</v>
      </c>
      <c r="J193" s="75">
        <v>6.16</v>
      </c>
      <c r="K193" s="75">
        <v>6.07</v>
      </c>
      <c r="L193" s="75">
        <v>-2.25</v>
      </c>
      <c r="M193" s="75">
        <v>-2.383</v>
      </c>
      <c r="N193" s="105">
        <v>-2.2320000000000002</v>
      </c>
      <c r="O193" s="104">
        <v>22.76</v>
      </c>
      <c r="P193" s="75">
        <v>22.77</v>
      </c>
      <c r="Q193" s="75">
        <v>22.76</v>
      </c>
      <c r="R193" s="75">
        <v>-15.46</v>
      </c>
      <c r="S193" s="75">
        <v>-15.26</v>
      </c>
      <c r="T193" s="105">
        <v>-15.21</v>
      </c>
      <c r="U193" s="104">
        <v>22.18</v>
      </c>
      <c r="V193" s="75">
        <v>22.17</v>
      </c>
      <c r="W193" s="75">
        <v>22.12</v>
      </c>
      <c r="X193" s="75">
        <v>-1.871</v>
      </c>
      <c r="Y193" s="75">
        <v>-2.3650000000000002</v>
      </c>
      <c r="Z193" s="105">
        <v>-3.1520000000000001</v>
      </c>
      <c r="AA193" s="104">
        <v>6.95</v>
      </c>
      <c r="AB193" s="75">
        <v>6.85</v>
      </c>
      <c r="AC193" s="75">
        <v>6.79</v>
      </c>
      <c r="AD193" s="75">
        <v>-18.91</v>
      </c>
      <c r="AE193" s="75">
        <v>-19.190000000000001</v>
      </c>
      <c r="AF193" s="105">
        <v>-18.228000000000002</v>
      </c>
    </row>
    <row r="194" spans="2:32" x14ac:dyDescent="0.3">
      <c r="B194" s="111">
        <v>31.500000000000085</v>
      </c>
      <c r="C194" s="104">
        <v>6.7</v>
      </c>
      <c r="D194" s="75">
        <v>6.57</v>
      </c>
      <c r="E194" s="75">
        <v>6.49</v>
      </c>
      <c r="F194" s="75">
        <v>-11.84</v>
      </c>
      <c r="G194" s="75">
        <v>-11.07</v>
      </c>
      <c r="H194" s="105">
        <v>-11.14</v>
      </c>
      <c r="I194" s="104">
        <v>6.2</v>
      </c>
      <c r="J194" s="75">
        <v>6.08</v>
      </c>
      <c r="K194" s="75">
        <v>5.99</v>
      </c>
      <c r="L194" s="75">
        <v>-2.238</v>
      </c>
      <c r="M194" s="75">
        <v>-2.1230000000000002</v>
      </c>
      <c r="N194" s="105">
        <v>-2.19</v>
      </c>
      <c r="O194" s="104">
        <v>22.69</v>
      </c>
      <c r="P194" s="75">
        <v>22.7</v>
      </c>
      <c r="Q194" s="75">
        <v>22.68</v>
      </c>
      <c r="R194" s="75">
        <v>-15.32</v>
      </c>
      <c r="S194" s="75">
        <v>-15.26</v>
      </c>
      <c r="T194" s="105">
        <v>-15.25</v>
      </c>
      <c r="U194" s="104">
        <v>22.11</v>
      </c>
      <c r="V194" s="75">
        <v>22.1</v>
      </c>
      <c r="W194" s="75">
        <v>22.04</v>
      </c>
      <c r="X194" s="75">
        <v>-1.71</v>
      </c>
      <c r="Y194" s="75">
        <v>-2.4</v>
      </c>
      <c r="Z194" s="105">
        <v>-3.0329999999999999</v>
      </c>
      <c r="AA194" s="104">
        <v>6.89</v>
      </c>
      <c r="AB194" s="75">
        <v>6.78</v>
      </c>
      <c r="AC194" s="75">
        <v>6.72</v>
      </c>
      <c r="AD194" s="75">
        <v>-19.36</v>
      </c>
      <c r="AE194" s="75">
        <v>-19.29</v>
      </c>
      <c r="AF194" s="105">
        <v>-18.209</v>
      </c>
    </row>
    <row r="195" spans="2:32" x14ac:dyDescent="0.3">
      <c r="B195" s="111">
        <v>31.666666666666753</v>
      </c>
      <c r="C195" s="104">
        <v>6.61</v>
      </c>
      <c r="D195" s="75">
        <v>6.48</v>
      </c>
      <c r="E195" s="75">
        <v>6.4</v>
      </c>
      <c r="F195" s="75">
        <v>-11.49</v>
      </c>
      <c r="G195" s="75">
        <v>-10.92</v>
      </c>
      <c r="H195" s="105">
        <v>-10.98</v>
      </c>
      <c r="I195" s="104">
        <v>6.13</v>
      </c>
      <c r="J195" s="75">
        <v>6</v>
      </c>
      <c r="K195" s="75">
        <v>5.92</v>
      </c>
      <c r="L195" s="75">
        <v>-2.4089999999999998</v>
      </c>
      <c r="M195" s="75">
        <v>-2.0990000000000002</v>
      </c>
      <c r="N195" s="105">
        <v>-1.9810000000000001</v>
      </c>
      <c r="O195" s="104">
        <v>22.61</v>
      </c>
      <c r="P195" s="75">
        <v>22.65</v>
      </c>
      <c r="Q195" s="75">
        <v>22.61</v>
      </c>
      <c r="R195" s="75">
        <v>-15.48</v>
      </c>
      <c r="S195" s="75">
        <v>-14.92</v>
      </c>
      <c r="T195" s="105">
        <v>-15.5</v>
      </c>
      <c r="U195" s="104">
        <v>22.03</v>
      </c>
      <c r="V195" s="75">
        <v>22.04</v>
      </c>
      <c r="W195" s="75">
        <v>21.96</v>
      </c>
      <c r="X195" s="75">
        <v>-1.871</v>
      </c>
      <c r="Y195" s="75">
        <v>-1.96</v>
      </c>
      <c r="Z195" s="105">
        <v>-3.242</v>
      </c>
      <c r="AA195" s="104">
        <v>6.82</v>
      </c>
      <c r="AB195" s="75">
        <v>6.71</v>
      </c>
      <c r="AC195" s="75">
        <v>6.65</v>
      </c>
      <c r="AD195" s="75">
        <v>-19.510000000000002</v>
      </c>
      <c r="AE195" s="75">
        <v>-19.600000000000001</v>
      </c>
      <c r="AF195" s="105">
        <v>-18.385999999999999</v>
      </c>
    </row>
    <row r="196" spans="2:32" x14ac:dyDescent="0.3">
      <c r="B196" s="111">
        <v>31.833333333333421</v>
      </c>
      <c r="C196" s="104">
        <v>6.53</v>
      </c>
      <c r="D196" s="75">
        <v>6.39</v>
      </c>
      <c r="E196" s="75">
        <v>6.32</v>
      </c>
      <c r="F196" s="75">
        <v>-11.05</v>
      </c>
      <c r="G196" s="75">
        <v>-10.41</v>
      </c>
      <c r="H196" s="105">
        <v>-10.77</v>
      </c>
      <c r="I196" s="104">
        <v>6.06</v>
      </c>
      <c r="J196" s="75">
        <v>5.94</v>
      </c>
      <c r="K196" s="75">
        <v>5.85</v>
      </c>
      <c r="L196" s="75">
        <v>-2.2549999999999999</v>
      </c>
      <c r="M196" s="75">
        <v>-2.2679999999999998</v>
      </c>
      <c r="N196" s="105">
        <v>-2.0379999999999998</v>
      </c>
      <c r="O196" s="104">
        <v>22.54</v>
      </c>
      <c r="P196" s="75">
        <v>22.58</v>
      </c>
      <c r="Q196" s="75">
        <v>22.54</v>
      </c>
      <c r="R196" s="75">
        <v>-15.32</v>
      </c>
      <c r="S196" s="75">
        <v>-15.33</v>
      </c>
      <c r="T196" s="105">
        <v>-15.35</v>
      </c>
      <c r="U196" s="104">
        <v>21.96</v>
      </c>
      <c r="V196" s="75">
        <v>21.98</v>
      </c>
      <c r="W196" s="75">
        <v>21.89</v>
      </c>
      <c r="X196" s="75">
        <v>-1.6890000000000001</v>
      </c>
      <c r="Y196" s="75">
        <v>-2.488</v>
      </c>
      <c r="Z196" s="105">
        <v>-3.0449999999999999</v>
      </c>
      <c r="AA196" s="104">
        <v>6.75</v>
      </c>
      <c r="AB196" s="75">
        <v>6.64</v>
      </c>
      <c r="AC196" s="75">
        <v>6.58</v>
      </c>
      <c r="AD196" s="75">
        <v>-19.54</v>
      </c>
      <c r="AE196" s="75">
        <v>-19.57</v>
      </c>
      <c r="AF196" s="105">
        <v>-18.562999999999999</v>
      </c>
    </row>
    <row r="197" spans="2:32" x14ac:dyDescent="0.3">
      <c r="B197" s="111">
        <v>32.000000000000085</v>
      </c>
      <c r="C197" s="104">
        <v>6.45</v>
      </c>
      <c r="D197" s="75">
        <v>6.31</v>
      </c>
      <c r="E197" s="75">
        <v>6.22</v>
      </c>
      <c r="F197" s="75">
        <v>-10.64</v>
      </c>
      <c r="G197" s="75">
        <v>-10.02</v>
      </c>
      <c r="H197" s="105">
        <v>-10.24</v>
      </c>
      <c r="I197" s="104">
        <v>5.99</v>
      </c>
      <c r="J197" s="75">
        <v>5.87</v>
      </c>
      <c r="K197" s="75">
        <v>5.78</v>
      </c>
      <c r="L197" s="75">
        <v>-2.1219999999999999</v>
      </c>
      <c r="M197" s="75">
        <v>-2.004</v>
      </c>
      <c r="N197" s="105">
        <v>-2.1419999999999999</v>
      </c>
      <c r="O197" s="104">
        <v>22.47</v>
      </c>
      <c r="P197" s="75">
        <v>22.5</v>
      </c>
      <c r="Q197" s="75">
        <v>22.47</v>
      </c>
      <c r="R197" s="75">
        <v>-15.12</v>
      </c>
      <c r="S197" s="75">
        <v>-15.37</v>
      </c>
      <c r="T197" s="105">
        <v>-15.1</v>
      </c>
      <c r="U197" s="104">
        <v>21.89</v>
      </c>
      <c r="V197" s="75">
        <v>21.9</v>
      </c>
      <c r="W197" s="75">
        <v>21.82</v>
      </c>
      <c r="X197" s="75">
        <v>-1.609</v>
      </c>
      <c r="Y197" s="75">
        <v>-2.6659999999999999</v>
      </c>
      <c r="Z197" s="105">
        <v>-2.774</v>
      </c>
      <c r="AA197" s="104">
        <v>6.69</v>
      </c>
      <c r="AB197" s="75">
        <v>6.57</v>
      </c>
      <c r="AC197" s="75">
        <v>6.5</v>
      </c>
      <c r="AD197" s="75">
        <v>-19.54</v>
      </c>
      <c r="AE197" s="75">
        <v>-19.47</v>
      </c>
      <c r="AF197" s="105">
        <v>-18.581</v>
      </c>
    </row>
    <row r="198" spans="2:32" x14ac:dyDescent="0.3">
      <c r="B198" s="111">
        <v>32.16666666666675</v>
      </c>
      <c r="C198" s="104">
        <v>6.37</v>
      </c>
      <c r="D198" s="75">
        <v>6.21</v>
      </c>
      <c r="E198" s="75">
        <v>6.14</v>
      </c>
      <c r="F198" s="75">
        <v>-10.35</v>
      </c>
      <c r="G198" s="75">
        <v>-9.6999999999999993</v>
      </c>
      <c r="H198" s="105">
        <v>-9.82</v>
      </c>
      <c r="I198" s="104">
        <v>5.93</v>
      </c>
      <c r="J198" s="75">
        <v>5.79</v>
      </c>
      <c r="K198" s="75">
        <v>5.71</v>
      </c>
      <c r="L198" s="75">
        <v>-1.9259999999999999</v>
      </c>
      <c r="M198" s="75">
        <v>-1.998</v>
      </c>
      <c r="N198" s="105">
        <v>-2.214</v>
      </c>
      <c r="O198" s="104">
        <v>22.4</v>
      </c>
      <c r="P198" s="75">
        <v>22.42</v>
      </c>
      <c r="Q198" s="75">
        <v>22.39</v>
      </c>
      <c r="R198" s="75">
        <v>-15.02</v>
      </c>
      <c r="S198" s="75">
        <v>-15.14</v>
      </c>
      <c r="T198" s="105">
        <v>-15.07</v>
      </c>
      <c r="U198" s="104">
        <v>21.83</v>
      </c>
      <c r="V198" s="75">
        <v>21.83</v>
      </c>
      <c r="W198" s="75">
        <v>21.75</v>
      </c>
      <c r="X198" s="75">
        <v>-1.6879999999999999</v>
      </c>
      <c r="Y198" s="75">
        <v>-2.4140000000000001</v>
      </c>
      <c r="Z198" s="105">
        <v>-2.8340000000000001</v>
      </c>
      <c r="AA198" s="104">
        <v>6.62</v>
      </c>
      <c r="AB198" s="75">
        <v>6.49</v>
      </c>
      <c r="AC198" s="75">
        <v>6.42</v>
      </c>
      <c r="AD198" s="75">
        <v>-19.79</v>
      </c>
      <c r="AE198" s="75">
        <v>-19.649999999999999</v>
      </c>
      <c r="AF198" s="105">
        <v>-18.460999999999999</v>
      </c>
    </row>
    <row r="199" spans="2:32" x14ac:dyDescent="0.3">
      <c r="B199" s="111">
        <v>32.333333333333414</v>
      </c>
      <c r="C199" s="104">
        <v>6.28</v>
      </c>
      <c r="D199" s="75">
        <v>6.13</v>
      </c>
      <c r="E199" s="75">
        <v>6.04</v>
      </c>
      <c r="F199" s="75">
        <v>-9.77</v>
      </c>
      <c r="G199" s="75">
        <v>-9.4499999999999993</v>
      </c>
      <c r="H199" s="105">
        <v>-9.66</v>
      </c>
      <c r="I199" s="104">
        <v>5.86</v>
      </c>
      <c r="J199" s="75">
        <v>5.72</v>
      </c>
      <c r="K199" s="75">
        <v>5.63</v>
      </c>
      <c r="L199" s="75">
        <v>-1.964</v>
      </c>
      <c r="M199" s="75">
        <v>-2.1240000000000001</v>
      </c>
      <c r="N199" s="105">
        <v>-1.964</v>
      </c>
      <c r="O199" s="104">
        <v>22.32</v>
      </c>
      <c r="P199" s="75">
        <v>22.35</v>
      </c>
      <c r="Q199" s="75">
        <v>22.32</v>
      </c>
      <c r="R199" s="75">
        <v>-14.97</v>
      </c>
      <c r="S199" s="75">
        <v>-14.82</v>
      </c>
      <c r="T199" s="105">
        <v>-14.96</v>
      </c>
      <c r="U199" s="104">
        <v>21.76</v>
      </c>
      <c r="V199" s="75">
        <v>21.76</v>
      </c>
      <c r="W199" s="75">
        <v>21.68</v>
      </c>
      <c r="X199" s="75">
        <v>-1.734</v>
      </c>
      <c r="Y199" s="75">
        <v>-2.1579999999999999</v>
      </c>
      <c r="Z199" s="105">
        <v>-2.7429999999999999</v>
      </c>
      <c r="AA199" s="104">
        <v>6.55</v>
      </c>
      <c r="AB199" s="75">
        <v>6.4</v>
      </c>
      <c r="AC199" s="75">
        <v>6.33</v>
      </c>
      <c r="AD199" s="75">
        <v>-19.64</v>
      </c>
      <c r="AE199" s="75">
        <v>-19.72</v>
      </c>
      <c r="AF199" s="105">
        <v>-18.673999999999999</v>
      </c>
    </row>
    <row r="200" spans="2:32" x14ac:dyDescent="0.3">
      <c r="B200" s="111">
        <v>32.500000000000078</v>
      </c>
      <c r="C200" s="104">
        <v>6.19</v>
      </c>
      <c r="D200" s="75">
        <v>6.02</v>
      </c>
      <c r="E200" s="75">
        <v>5.93</v>
      </c>
      <c r="F200" s="75">
        <v>-9.73</v>
      </c>
      <c r="G200" s="75">
        <v>-9.44</v>
      </c>
      <c r="H200" s="105">
        <v>-9.5399999999999991</v>
      </c>
      <c r="I200" s="104">
        <v>5.78</v>
      </c>
      <c r="J200" s="75">
        <v>5.64</v>
      </c>
      <c r="K200" s="75">
        <v>5.53</v>
      </c>
      <c r="L200" s="75">
        <v>-1.9339999999999999</v>
      </c>
      <c r="M200" s="75">
        <v>-2.1549999999999998</v>
      </c>
      <c r="N200" s="105">
        <v>-2.2930000000000001</v>
      </c>
      <c r="O200" s="104">
        <v>22.24</v>
      </c>
      <c r="P200" s="75">
        <v>22.28</v>
      </c>
      <c r="Q200" s="75">
        <v>22.25</v>
      </c>
      <c r="R200" s="75">
        <v>-14.99</v>
      </c>
      <c r="S200" s="75">
        <v>-14.68</v>
      </c>
      <c r="T200" s="105">
        <v>-14.81</v>
      </c>
      <c r="U200" s="104">
        <v>21.69</v>
      </c>
      <c r="V200" s="75">
        <v>21.69</v>
      </c>
      <c r="W200" s="75">
        <v>21.61</v>
      </c>
      <c r="X200" s="75">
        <v>-1.89</v>
      </c>
      <c r="Y200" s="75">
        <v>-2.0880000000000001</v>
      </c>
      <c r="Z200" s="105">
        <v>-2.7349999999999999</v>
      </c>
      <c r="AA200" s="104">
        <v>6.47</v>
      </c>
      <c r="AB200" s="75">
        <v>6.32</v>
      </c>
      <c r="AC200" s="75">
        <v>6.22</v>
      </c>
      <c r="AD200" s="75">
        <v>-19.91</v>
      </c>
      <c r="AE200" s="75">
        <v>-19.87</v>
      </c>
      <c r="AF200" s="105">
        <v>-18.331</v>
      </c>
    </row>
    <row r="201" spans="2:32" x14ac:dyDescent="0.3">
      <c r="B201" s="111">
        <v>32.666666666666742</v>
      </c>
      <c r="C201" s="104">
        <v>6.1</v>
      </c>
      <c r="D201" s="75">
        <v>5.92</v>
      </c>
      <c r="E201" s="75">
        <v>5.84</v>
      </c>
      <c r="F201" s="75">
        <v>-9.26</v>
      </c>
      <c r="G201" s="75">
        <v>-9.1300000000000008</v>
      </c>
      <c r="H201" s="105">
        <v>-8.93</v>
      </c>
      <c r="I201" s="104">
        <v>5.71</v>
      </c>
      <c r="J201" s="75">
        <v>5.55</v>
      </c>
      <c r="K201" s="75">
        <v>5.45</v>
      </c>
      <c r="L201" s="75">
        <v>-2.1859999999999999</v>
      </c>
      <c r="M201" s="75">
        <v>-2.3119999999999998</v>
      </c>
      <c r="N201" s="105">
        <v>-2.6309999999999998</v>
      </c>
      <c r="O201" s="104">
        <v>22.15</v>
      </c>
      <c r="P201" s="75">
        <v>22.2</v>
      </c>
      <c r="Q201" s="75">
        <v>22.17</v>
      </c>
      <c r="R201" s="75">
        <v>-14.75</v>
      </c>
      <c r="S201" s="75">
        <v>-14.75</v>
      </c>
      <c r="T201" s="105">
        <v>-14.7</v>
      </c>
      <c r="U201" s="104">
        <v>21.61</v>
      </c>
      <c r="V201" s="75">
        <v>21.62</v>
      </c>
      <c r="W201" s="75">
        <v>21.54</v>
      </c>
      <c r="X201" s="75">
        <v>-1.883</v>
      </c>
      <c r="Y201" s="75">
        <v>-2.3679999999999999</v>
      </c>
      <c r="Z201" s="105">
        <v>-2.7269999999999999</v>
      </c>
      <c r="AA201" s="104">
        <v>6.38</v>
      </c>
      <c r="AB201" s="75">
        <v>6.21</v>
      </c>
      <c r="AC201" s="75">
        <v>6.13</v>
      </c>
      <c r="AD201" s="75">
        <v>-19.829999999999998</v>
      </c>
      <c r="AE201" s="75">
        <v>-19.829999999999998</v>
      </c>
      <c r="AF201" s="105">
        <v>-17.988</v>
      </c>
    </row>
    <row r="202" spans="2:32" x14ac:dyDescent="0.3">
      <c r="B202" s="111">
        <v>32.833333333333407</v>
      </c>
      <c r="C202" s="104">
        <v>6</v>
      </c>
      <c r="D202" s="75">
        <v>5.82</v>
      </c>
      <c r="E202" s="75">
        <v>5.75</v>
      </c>
      <c r="F202" s="75">
        <v>-9.4</v>
      </c>
      <c r="G202" s="75">
        <v>-8.6300000000000008</v>
      </c>
      <c r="H202" s="105">
        <v>-8.48</v>
      </c>
      <c r="I202" s="104">
        <v>5.62</v>
      </c>
      <c r="J202" s="75">
        <v>5.47</v>
      </c>
      <c r="K202" s="75">
        <v>5.38</v>
      </c>
      <c r="L202" s="75">
        <v>-2.2130000000000001</v>
      </c>
      <c r="M202" s="75">
        <v>-2.4710000000000001</v>
      </c>
      <c r="N202" s="105">
        <v>-2.2519999999999998</v>
      </c>
      <c r="O202" s="104">
        <v>22.08</v>
      </c>
      <c r="P202" s="75">
        <v>22.13</v>
      </c>
      <c r="Q202" s="75">
        <v>22.09</v>
      </c>
      <c r="R202" s="75">
        <v>-14.31</v>
      </c>
      <c r="S202" s="75">
        <v>-14.44</v>
      </c>
      <c r="T202" s="105">
        <v>-14.45</v>
      </c>
      <c r="U202" s="104">
        <v>21.55</v>
      </c>
      <c r="V202" s="75">
        <v>21.56</v>
      </c>
      <c r="W202" s="75">
        <v>21.47</v>
      </c>
      <c r="X202" s="75">
        <v>-1.5529999999999999</v>
      </c>
      <c r="Y202" s="75">
        <v>-2.2770000000000001</v>
      </c>
      <c r="Z202" s="105">
        <v>-2.67</v>
      </c>
      <c r="AA202" s="104">
        <v>6.29</v>
      </c>
      <c r="AB202" s="75">
        <v>6.11</v>
      </c>
      <c r="AC202" s="75">
        <v>6.04</v>
      </c>
      <c r="AD202" s="75">
        <v>-20.11</v>
      </c>
      <c r="AE202" s="75">
        <v>-19.54</v>
      </c>
      <c r="AF202" s="105">
        <v>-17.419</v>
      </c>
    </row>
    <row r="203" spans="2:32" x14ac:dyDescent="0.3">
      <c r="B203" s="111">
        <v>33.000000000000071</v>
      </c>
      <c r="C203" s="104">
        <v>5.89</v>
      </c>
      <c r="D203" s="75">
        <v>5.72</v>
      </c>
      <c r="E203" s="75">
        <v>5.65</v>
      </c>
      <c r="F203" s="75">
        <v>-9.17</v>
      </c>
      <c r="G203" s="75">
        <v>-8.16</v>
      </c>
      <c r="H203" s="105">
        <v>-7.7229999999999999</v>
      </c>
      <c r="I203" s="104">
        <v>5.53</v>
      </c>
      <c r="J203" s="75">
        <v>5.38</v>
      </c>
      <c r="K203" s="75">
        <v>5.31</v>
      </c>
      <c r="L203" s="75">
        <v>-2.544</v>
      </c>
      <c r="M203" s="75">
        <v>-2.3860000000000001</v>
      </c>
      <c r="N203" s="105">
        <v>-2.0489999999999999</v>
      </c>
      <c r="O203" s="104">
        <v>22.01</v>
      </c>
      <c r="P203" s="75">
        <v>22.05</v>
      </c>
      <c r="Q203" s="75">
        <v>22</v>
      </c>
      <c r="R203" s="75">
        <v>-13.95</v>
      </c>
      <c r="S203" s="75">
        <v>-14.44</v>
      </c>
      <c r="T203" s="105">
        <v>-14.66</v>
      </c>
      <c r="U203" s="104">
        <v>21.48</v>
      </c>
      <c r="V203" s="75">
        <v>21.49</v>
      </c>
      <c r="W203" s="75">
        <v>21.39</v>
      </c>
      <c r="X203" s="75">
        <v>-1.522</v>
      </c>
      <c r="Y203" s="75">
        <v>-2.4550000000000001</v>
      </c>
      <c r="Z203" s="105">
        <v>-3.1349999999999998</v>
      </c>
      <c r="AA203" s="104">
        <v>6.19</v>
      </c>
      <c r="AB203" s="75">
        <v>6.01</v>
      </c>
      <c r="AC203" s="75">
        <v>5.94</v>
      </c>
      <c r="AD203" s="75">
        <v>-20.23</v>
      </c>
      <c r="AE203" s="75">
        <v>-19.260000000000002</v>
      </c>
      <c r="AF203" s="105">
        <v>-16.716000000000001</v>
      </c>
    </row>
    <row r="204" spans="2:32" x14ac:dyDescent="0.3">
      <c r="B204" s="111">
        <v>33.166666666666735</v>
      </c>
      <c r="C204" s="104">
        <v>5.79</v>
      </c>
      <c r="D204" s="75">
        <v>5.62</v>
      </c>
      <c r="E204" s="75">
        <v>5.56</v>
      </c>
      <c r="F204" s="75">
        <v>-8.65</v>
      </c>
      <c r="G204" s="75">
        <v>-7.7309999999999999</v>
      </c>
      <c r="H204" s="105">
        <v>-7.3410000000000002</v>
      </c>
      <c r="I204" s="104">
        <v>5.45</v>
      </c>
      <c r="J204" s="75">
        <v>5.31</v>
      </c>
      <c r="K204" s="75">
        <v>5.24</v>
      </c>
      <c r="L204" s="75">
        <v>-2.726</v>
      </c>
      <c r="M204" s="75">
        <v>-2.234</v>
      </c>
      <c r="N204" s="105">
        <v>-1.722</v>
      </c>
      <c r="O204" s="104">
        <v>21.92</v>
      </c>
      <c r="P204" s="75">
        <v>21.95</v>
      </c>
      <c r="Q204" s="75">
        <v>21.91</v>
      </c>
      <c r="R204" s="75">
        <v>-14.06</v>
      </c>
      <c r="S204" s="75">
        <v>-14.44</v>
      </c>
      <c r="T204" s="105">
        <v>-14.38</v>
      </c>
      <c r="U204" s="104">
        <v>21.41</v>
      </c>
      <c r="V204" s="75">
        <v>21.41</v>
      </c>
      <c r="W204" s="75">
        <v>21.31</v>
      </c>
      <c r="X204" s="75">
        <v>-1.8520000000000001</v>
      </c>
      <c r="Y204" s="75">
        <v>-2.7130000000000001</v>
      </c>
      <c r="Z204" s="105">
        <v>-2.9940000000000002</v>
      </c>
      <c r="AA204" s="104">
        <v>6.09</v>
      </c>
      <c r="AB204" s="75">
        <v>5.91</v>
      </c>
      <c r="AC204" s="75">
        <v>5.84</v>
      </c>
      <c r="AD204" s="75">
        <v>-19.84</v>
      </c>
      <c r="AE204" s="75">
        <v>-18.98</v>
      </c>
      <c r="AF204" s="105">
        <v>-16.274000000000001</v>
      </c>
    </row>
    <row r="205" spans="2:32" x14ac:dyDescent="0.3">
      <c r="B205" s="111">
        <v>33.3333333333334</v>
      </c>
      <c r="C205" s="104">
        <v>5.69</v>
      </c>
      <c r="D205" s="75">
        <v>5.53</v>
      </c>
      <c r="E205" s="75">
        <v>5.47</v>
      </c>
      <c r="F205" s="75">
        <v>-8.02</v>
      </c>
      <c r="G205" s="75">
        <v>-7.1070000000000002</v>
      </c>
      <c r="H205" s="105">
        <v>-7.09</v>
      </c>
      <c r="I205" s="104">
        <v>5.37</v>
      </c>
      <c r="J205" s="75">
        <v>5.24</v>
      </c>
      <c r="K205" s="75">
        <v>5.17</v>
      </c>
      <c r="L205" s="75">
        <v>-2.3919999999999999</v>
      </c>
      <c r="M205" s="75">
        <v>-2.1160000000000001</v>
      </c>
      <c r="N205" s="105">
        <v>-1.881</v>
      </c>
      <c r="O205" s="104">
        <v>21.83</v>
      </c>
      <c r="P205" s="75">
        <v>21.85</v>
      </c>
      <c r="Q205" s="75">
        <v>21.82</v>
      </c>
      <c r="R205" s="75">
        <v>-13.83</v>
      </c>
      <c r="S205" s="75">
        <v>-14.32</v>
      </c>
      <c r="T205" s="105">
        <v>-14.01</v>
      </c>
      <c r="U205" s="104">
        <v>21.33</v>
      </c>
      <c r="V205" s="75">
        <v>21.32</v>
      </c>
      <c r="W205" s="75">
        <v>21.24</v>
      </c>
      <c r="X205" s="75">
        <v>-1.9370000000000001</v>
      </c>
      <c r="Y205" s="75">
        <v>-2.762</v>
      </c>
      <c r="Z205" s="105">
        <v>-2.8130000000000002</v>
      </c>
      <c r="AA205" s="104">
        <v>5.99</v>
      </c>
      <c r="AB205" s="75">
        <v>5.81</v>
      </c>
      <c r="AC205" s="75">
        <v>5.73</v>
      </c>
      <c r="AD205" s="75">
        <v>-19.3</v>
      </c>
      <c r="AE205" s="75">
        <v>-18.39</v>
      </c>
      <c r="AF205" s="105">
        <v>-15.726000000000001</v>
      </c>
    </row>
    <row r="206" spans="2:32" x14ac:dyDescent="0.3">
      <c r="B206" s="111">
        <v>33.500000000000064</v>
      </c>
      <c r="C206" s="104">
        <v>5.59</v>
      </c>
      <c r="D206" s="75">
        <v>5.44</v>
      </c>
      <c r="E206" s="75">
        <v>5.38</v>
      </c>
      <c r="F206" s="75">
        <v>-7.633</v>
      </c>
      <c r="G206" s="75">
        <v>-6.6970000000000001</v>
      </c>
      <c r="H206" s="105">
        <v>-6.51</v>
      </c>
      <c r="I206" s="104">
        <v>5.29</v>
      </c>
      <c r="J206" s="75">
        <v>5.16</v>
      </c>
      <c r="K206" s="75">
        <v>5.0999999999999996</v>
      </c>
      <c r="L206" s="75">
        <v>-2.1120000000000001</v>
      </c>
      <c r="M206" s="75">
        <v>-2.09</v>
      </c>
      <c r="N206" s="105">
        <v>-1.8380000000000001</v>
      </c>
      <c r="O206" s="104">
        <v>21.74</v>
      </c>
      <c r="P206" s="75">
        <v>21.73</v>
      </c>
      <c r="Q206" s="75">
        <v>21.74</v>
      </c>
      <c r="R206" s="75">
        <v>-13.63</v>
      </c>
      <c r="S206" s="75">
        <v>-13.81</v>
      </c>
      <c r="T206" s="105">
        <v>-13.79</v>
      </c>
      <c r="U206" s="104">
        <v>21.26</v>
      </c>
      <c r="V206" s="75">
        <v>21.21</v>
      </c>
      <c r="W206" s="75">
        <v>21.16</v>
      </c>
      <c r="X206" s="75">
        <v>-1.948</v>
      </c>
      <c r="Y206" s="75">
        <v>-2.472</v>
      </c>
      <c r="Z206" s="105">
        <v>-2.7909999999999999</v>
      </c>
      <c r="AA206" s="104">
        <v>5.88</v>
      </c>
      <c r="AB206" s="75">
        <v>5.7</v>
      </c>
      <c r="AC206" s="75">
        <v>5.62</v>
      </c>
      <c r="AD206" s="75">
        <v>-19.23</v>
      </c>
      <c r="AE206" s="75">
        <v>-17.73</v>
      </c>
      <c r="AF206" s="105">
        <v>-15.073</v>
      </c>
    </row>
    <row r="207" spans="2:32" x14ac:dyDescent="0.3">
      <c r="B207" s="111">
        <v>33.666666666666728</v>
      </c>
      <c r="C207" s="104">
        <v>5.5</v>
      </c>
      <c r="D207" s="75">
        <v>5.34</v>
      </c>
      <c r="E207" s="75">
        <v>5.3</v>
      </c>
      <c r="F207" s="75">
        <v>-7.1950000000000003</v>
      </c>
      <c r="G207" s="75">
        <v>-6.2990000000000004</v>
      </c>
      <c r="H207" s="105">
        <v>-5.7519999999999998</v>
      </c>
      <c r="I207" s="104">
        <v>5.21</v>
      </c>
      <c r="J207" s="75">
        <v>5.08</v>
      </c>
      <c r="K207" s="75">
        <v>5.04</v>
      </c>
      <c r="L207" s="75">
        <v>-2.4060000000000001</v>
      </c>
      <c r="M207" s="75">
        <v>-2.0310000000000001</v>
      </c>
      <c r="N207" s="105">
        <v>-1.764</v>
      </c>
      <c r="O207" s="104">
        <v>21.66</v>
      </c>
      <c r="P207" s="75">
        <v>21.61</v>
      </c>
      <c r="Q207" s="75">
        <v>21.66</v>
      </c>
      <c r="R207" s="75">
        <v>-13.04</v>
      </c>
      <c r="S207" s="75">
        <v>-13.33</v>
      </c>
      <c r="T207" s="105">
        <v>-13.7</v>
      </c>
      <c r="U207" s="104">
        <v>21.19</v>
      </c>
      <c r="V207" s="75">
        <v>21.11</v>
      </c>
      <c r="W207" s="75">
        <v>21.08</v>
      </c>
      <c r="X207" s="75">
        <v>-1.639</v>
      </c>
      <c r="Y207" s="75">
        <v>-2.2930000000000001</v>
      </c>
      <c r="Z207" s="105">
        <v>-2.911</v>
      </c>
      <c r="AA207" s="104">
        <v>5.78</v>
      </c>
      <c r="AB207" s="75">
        <v>5.58</v>
      </c>
      <c r="AC207" s="75">
        <v>5.52</v>
      </c>
      <c r="AD207" s="75">
        <v>-18.420000000000002</v>
      </c>
      <c r="AE207" s="75">
        <v>-17.100000000000001</v>
      </c>
      <c r="AF207" s="105">
        <v>-14.109</v>
      </c>
    </row>
    <row r="208" spans="2:32" x14ac:dyDescent="0.3">
      <c r="B208" s="111">
        <v>33.833333333333393</v>
      </c>
      <c r="C208" s="104">
        <v>5.41</v>
      </c>
      <c r="D208" s="75">
        <v>5.25</v>
      </c>
      <c r="E208" s="75">
        <v>5.24</v>
      </c>
      <c r="F208" s="75">
        <v>-6.7370000000000001</v>
      </c>
      <c r="G208" s="75">
        <v>-5.952</v>
      </c>
      <c r="H208" s="105">
        <v>-5.0519999999999996</v>
      </c>
      <c r="I208" s="104">
        <v>5.14</v>
      </c>
      <c r="J208" s="75">
        <v>5.01</v>
      </c>
      <c r="K208" s="75">
        <v>4.99</v>
      </c>
      <c r="L208" s="75">
        <v>-2.1989999999999998</v>
      </c>
      <c r="M208" s="75">
        <v>-2</v>
      </c>
      <c r="N208" s="105">
        <v>-1.456</v>
      </c>
      <c r="O208" s="104">
        <v>21.58</v>
      </c>
      <c r="P208" s="75">
        <v>21.52</v>
      </c>
      <c r="Q208" s="75">
        <v>21.58</v>
      </c>
      <c r="R208" s="75">
        <v>-12.89</v>
      </c>
      <c r="S208" s="75">
        <v>-12.99</v>
      </c>
      <c r="T208" s="105">
        <v>-13.18</v>
      </c>
      <c r="U208" s="104">
        <v>21.12</v>
      </c>
      <c r="V208" s="75">
        <v>21.03</v>
      </c>
      <c r="W208" s="75">
        <v>21.02</v>
      </c>
      <c r="X208" s="75">
        <v>-1.6719999999999999</v>
      </c>
      <c r="Y208" s="75">
        <v>-2.2149999999999999</v>
      </c>
      <c r="Z208" s="105">
        <v>-2.657</v>
      </c>
      <c r="AA208" s="104">
        <v>5.67</v>
      </c>
      <c r="AB208" s="75">
        <v>5.46</v>
      </c>
      <c r="AC208" s="75">
        <v>5.43</v>
      </c>
      <c r="AD208" s="75">
        <v>-17.760000000000002</v>
      </c>
      <c r="AE208" s="75">
        <v>-16.21</v>
      </c>
      <c r="AF208" s="105">
        <v>-13.04</v>
      </c>
    </row>
    <row r="209" spans="2:32" x14ac:dyDescent="0.3">
      <c r="B209" s="111">
        <v>34.000000000000057</v>
      </c>
      <c r="C209" s="104">
        <v>5.31</v>
      </c>
      <c r="D209" s="75">
        <v>5.17</v>
      </c>
      <c r="E209" s="75">
        <v>5.15</v>
      </c>
      <c r="F209" s="75">
        <v>-6.2729999999999997</v>
      </c>
      <c r="G209" s="75">
        <v>-5.6210000000000004</v>
      </c>
      <c r="H209" s="105">
        <v>-5.343</v>
      </c>
      <c r="I209" s="104">
        <v>5.07</v>
      </c>
      <c r="J209" s="75">
        <v>4.9400000000000004</v>
      </c>
      <c r="K209" s="75">
        <v>4.92</v>
      </c>
      <c r="L209" s="75">
        <v>-1.9990000000000001</v>
      </c>
      <c r="M209" s="75">
        <v>-1.93</v>
      </c>
      <c r="N209" s="105">
        <v>-1.0249999999999999</v>
      </c>
      <c r="O209" s="104">
        <v>21.49</v>
      </c>
      <c r="P209" s="75">
        <v>21.43</v>
      </c>
      <c r="Q209" s="75">
        <v>21.49</v>
      </c>
      <c r="R209" s="75">
        <v>-12.63</v>
      </c>
      <c r="S209" s="75">
        <v>-12.83</v>
      </c>
      <c r="T209" s="105">
        <v>-12.88</v>
      </c>
      <c r="U209" s="104">
        <v>21.05</v>
      </c>
      <c r="V209" s="75">
        <v>20.96</v>
      </c>
      <c r="W209" s="75">
        <v>20.94</v>
      </c>
      <c r="X209" s="75">
        <v>-1.6930000000000001</v>
      </c>
      <c r="Y209" s="75">
        <v>-2.375</v>
      </c>
      <c r="Z209" s="105">
        <v>-2.5630000000000002</v>
      </c>
      <c r="AA209" s="104">
        <v>5.55</v>
      </c>
      <c r="AB209" s="75">
        <v>5.35</v>
      </c>
      <c r="AC209" s="75">
        <v>5.3</v>
      </c>
      <c r="AD209" s="75">
        <v>-16.899999999999999</v>
      </c>
      <c r="AE209" s="75">
        <v>-15.28</v>
      </c>
      <c r="AF209" s="105">
        <v>-12.537000000000001</v>
      </c>
    </row>
    <row r="210" spans="2:32" x14ac:dyDescent="0.3">
      <c r="B210" s="111">
        <v>34.166666666666721</v>
      </c>
      <c r="C210" s="104">
        <v>5.22</v>
      </c>
      <c r="D210" s="75">
        <v>5.07</v>
      </c>
      <c r="E210" s="75">
        <v>5.0599999999999996</v>
      </c>
      <c r="F210" s="75">
        <v>-5.9</v>
      </c>
      <c r="G210" s="75">
        <v>-5.2910000000000004</v>
      </c>
      <c r="H210" s="105">
        <v>-5.1859999999999999</v>
      </c>
      <c r="I210" s="104">
        <v>5</v>
      </c>
      <c r="J210" s="75">
        <v>4.8600000000000003</v>
      </c>
      <c r="K210" s="75">
        <v>4.8600000000000003</v>
      </c>
      <c r="L210" s="75">
        <v>-1.88</v>
      </c>
      <c r="M210" s="75">
        <v>-1.859</v>
      </c>
      <c r="N210" s="105">
        <v>-1.71</v>
      </c>
      <c r="O210" s="104">
        <v>21.41</v>
      </c>
      <c r="P210" s="75">
        <v>21.35</v>
      </c>
      <c r="Q210" s="75">
        <v>21.4</v>
      </c>
      <c r="R210" s="75">
        <v>-12.33</v>
      </c>
      <c r="S210" s="75">
        <v>-12.5</v>
      </c>
      <c r="T210" s="105">
        <v>-12.68</v>
      </c>
      <c r="U210" s="104">
        <v>20.99</v>
      </c>
      <c r="V210" s="75">
        <v>20.9</v>
      </c>
      <c r="W210" s="75">
        <v>20.87</v>
      </c>
      <c r="X210" s="75">
        <v>-1.643</v>
      </c>
      <c r="Y210" s="75">
        <v>-2.206</v>
      </c>
      <c r="Z210" s="105">
        <v>-2.6850000000000001</v>
      </c>
      <c r="AA210" s="104">
        <v>5.43</v>
      </c>
      <c r="AB210" s="75">
        <v>5.23</v>
      </c>
      <c r="AC210" s="75">
        <v>5.18</v>
      </c>
      <c r="AD210" s="75">
        <v>-16.13</v>
      </c>
      <c r="AE210" s="75">
        <v>-14.39</v>
      </c>
      <c r="AF210" s="105">
        <v>-11.706</v>
      </c>
    </row>
    <row r="211" spans="2:32" x14ac:dyDescent="0.3">
      <c r="B211" s="111">
        <v>34.333333333333385</v>
      </c>
      <c r="C211" s="104">
        <v>5.13</v>
      </c>
      <c r="D211" s="75">
        <v>4.99</v>
      </c>
      <c r="E211" s="75">
        <v>4.9800000000000004</v>
      </c>
      <c r="F211" s="75">
        <v>-5.6630000000000003</v>
      </c>
      <c r="G211" s="75">
        <v>-4.8979999999999997</v>
      </c>
      <c r="H211" s="105">
        <v>-4.9279999999999999</v>
      </c>
      <c r="I211" s="104">
        <v>4.92</v>
      </c>
      <c r="J211" s="75">
        <v>4.8</v>
      </c>
      <c r="K211" s="75">
        <v>4.79</v>
      </c>
      <c r="L211" s="75">
        <v>-1.8859999999999999</v>
      </c>
      <c r="M211" s="75">
        <v>-1.859</v>
      </c>
      <c r="N211" s="105">
        <v>-1.762</v>
      </c>
      <c r="O211" s="104">
        <v>21.32</v>
      </c>
      <c r="P211" s="75">
        <v>21.27</v>
      </c>
      <c r="Q211" s="75">
        <v>21.31</v>
      </c>
      <c r="R211" s="75">
        <v>-11.96</v>
      </c>
      <c r="S211" s="75">
        <v>-12.13</v>
      </c>
      <c r="T211" s="105">
        <v>-12.44</v>
      </c>
      <c r="U211" s="104">
        <v>20.92</v>
      </c>
      <c r="V211" s="75">
        <v>20.83</v>
      </c>
      <c r="W211" s="75">
        <v>20.8</v>
      </c>
      <c r="X211" s="75">
        <v>-1.575</v>
      </c>
      <c r="Y211" s="75">
        <v>-2.1230000000000002</v>
      </c>
      <c r="Z211" s="105">
        <v>-2.6459999999999999</v>
      </c>
      <c r="AA211" s="104">
        <v>5.31</v>
      </c>
      <c r="AB211" s="75">
        <v>5.12</v>
      </c>
      <c r="AC211" s="75">
        <v>5.07</v>
      </c>
      <c r="AD211" s="75">
        <v>-15.3</v>
      </c>
      <c r="AE211" s="75">
        <v>-13.16</v>
      </c>
      <c r="AF211" s="105">
        <v>-10.894</v>
      </c>
    </row>
    <row r="212" spans="2:32" x14ac:dyDescent="0.3">
      <c r="B212" s="111">
        <v>34.50000000000005</v>
      </c>
      <c r="C212" s="104">
        <v>5.05</v>
      </c>
      <c r="D212" s="75">
        <v>4.9000000000000004</v>
      </c>
      <c r="E212" s="75">
        <v>4.91</v>
      </c>
      <c r="F212" s="75">
        <v>-5.2779999999999996</v>
      </c>
      <c r="G212" s="75">
        <v>-4.8570000000000002</v>
      </c>
      <c r="H212" s="105">
        <v>-4.5510000000000002</v>
      </c>
      <c r="I212" s="104">
        <v>4.8499999999999996</v>
      </c>
      <c r="J212" s="75">
        <v>4.72</v>
      </c>
      <c r="K212" s="75">
        <v>4.72</v>
      </c>
      <c r="L212" s="75">
        <v>-2.0289999999999999</v>
      </c>
      <c r="M212" s="75">
        <v>-1.6040000000000001</v>
      </c>
      <c r="N212" s="105">
        <v>-1.7370000000000001</v>
      </c>
      <c r="O212" s="104">
        <v>21.24</v>
      </c>
      <c r="P212" s="75">
        <v>21.17</v>
      </c>
      <c r="Q212" s="75">
        <v>21.23</v>
      </c>
      <c r="R212" s="75">
        <v>-11.58</v>
      </c>
      <c r="S212" s="75">
        <v>-11.95</v>
      </c>
      <c r="T212" s="105">
        <v>-12.1</v>
      </c>
      <c r="U212" s="104">
        <v>20.85</v>
      </c>
      <c r="V212" s="75">
        <v>20.76</v>
      </c>
      <c r="W212" s="75">
        <v>20.73</v>
      </c>
      <c r="X212" s="75">
        <v>-1.4730000000000001</v>
      </c>
      <c r="Y212" s="75">
        <v>-2.1989999999999998</v>
      </c>
      <c r="Z212" s="105">
        <v>-2.6030000000000002</v>
      </c>
      <c r="AA212" s="104">
        <v>5.2</v>
      </c>
      <c r="AB212" s="75">
        <v>4.99</v>
      </c>
      <c r="AC212" s="75">
        <v>4.96</v>
      </c>
      <c r="AD212" s="75">
        <v>-14.15</v>
      </c>
      <c r="AE212" s="75">
        <v>-12.44</v>
      </c>
      <c r="AF212" s="105">
        <v>-9.7360000000000007</v>
      </c>
    </row>
    <row r="213" spans="2:32" x14ac:dyDescent="0.3">
      <c r="B213" s="111">
        <v>34.666666666666714</v>
      </c>
      <c r="C213" s="104">
        <v>4.97</v>
      </c>
      <c r="D213" s="75">
        <v>4.82</v>
      </c>
      <c r="E213" s="75">
        <v>4.83</v>
      </c>
      <c r="F213" s="75">
        <v>-4.8920000000000003</v>
      </c>
      <c r="G213" s="75">
        <v>-4.7539999999999996</v>
      </c>
      <c r="H213" s="105">
        <v>-4.4450000000000003</v>
      </c>
      <c r="I213" s="104">
        <v>4.78</v>
      </c>
      <c r="J213" s="75">
        <v>4.6399999999999997</v>
      </c>
      <c r="K213" s="75">
        <v>4.6500000000000004</v>
      </c>
      <c r="L213" s="75">
        <v>-1.919</v>
      </c>
      <c r="M213" s="75">
        <v>-1.9039999999999999</v>
      </c>
      <c r="N213" s="105">
        <v>-1.649</v>
      </c>
      <c r="O213" s="104">
        <v>21.15</v>
      </c>
      <c r="P213" s="75">
        <v>21.08</v>
      </c>
      <c r="Q213" s="75">
        <v>21.14</v>
      </c>
      <c r="R213" s="75">
        <v>-11.58</v>
      </c>
      <c r="S213" s="75">
        <v>-11.67</v>
      </c>
      <c r="T213" s="105">
        <v>-11.65</v>
      </c>
      <c r="U213" s="104">
        <v>20.78</v>
      </c>
      <c r="V213" s="75">
        <v>20.69</v>
      </c>
      <c r="W213" s="75">
        <v>20.66</v>
      </c>
      <c r="X213" s="75">
        <v>-1.738</v>
      </c>
      <c r="Y213" s="75">
        <v>-2.2250000000000001</v>
      </c>
      <c r="Z213" s="105">
        <v>-2.3679999999999999</v>
      </c>
      <c r="AA213" s="104">
        <v>5.08</v>
      </c>
      <c r="AB213" s="75">
        <v>4.87</v>
      </c>
      <c r="AC213" s="75">
        <v>4.8499999999999996</v>
      </c>
      <c r="AD213" s="75">
        <v>-13.03</v>
      </c>
      <c r="AE213" s="75">
        <v>-11.4</v>
      </c>
      <c r="AF213" s="105">
        <v>-8.702</v>
      </c>
    </row>
    <row r="214" spans="2:32" x14ac:dyDescent="0.3">
      <c r="B214" s="111">
        <v>34.833333333333378</v>
      </c>
      <c r="C214" s="104">
        <v>4.88</v>
      </c>
      <c r="D214" s="75">
        <v>4.74</v>
      </c>
      <c r="E214" s="75">
        <v>4.7699999999999996</v>
      </c>
      <c r="F214" s="75">
        <v>-4.7279999999999998</v>
      </c>
      <c r="G214" s="75">
        <v>-4.5119999999999996</v>
      </c>
      <c r="H214" s="105">
        <v>-4.1970000000000001</v>
      </c>
      <c r="I214" s="104">
        <v>4.7</v>
      </c>
      <c r="J214" s="75">
        <v>4.58</v>
      </c>
      <c r="K214" s="75">
        <v>4.59</v>
      </c>
      <c r="L214" s="75">
        <v>-1.6759999999999999</v>
      </c>
      <c r="M214" s="75">
        <v>-1.9610000000000001</v>
      </c>
      <c r="N214" s="105">
        <v>-1.7</v>
      </c>
      <c r="O214" s="104">
        <v>21.06</v>
      </c>
      <c r="P214" s="75">
        <v>20.99</v>
      </c>
      <c r="Q214" s="75">
        <v>21.05</v>
      </c>
      <c r="R214" s="75">
        <v>-11.35</v>
      </c>
      <c r="S214" s="75">
        <v>-11.49</v>
      </c>
      <c r="T214" s="105">
        <v>-11.52</v>
      </c>
      <c r="U214" s="104">
        <v>20.7</v>
      </c>
      <c r="V214" s="75">
        <v>20.62</v>
      </c>
      <c r="W214" s="75">
        <v>20.59</v>
      </c>
      <c r="X214" s="75">
        <v>-1.8109999999999999</v>
      </c>
      <c r="Y214" s="75">
        <v>-2.3719999999999999</v>
      </c>
      <c r="Z214" s="105">
        <v>-2.5619999999999998</v>
      </c>
      <c r="AA214" s="104">
        <v>4.96</v>
      </c>
      <c r="AB214" s="75">
        <v>4.76</v>
      </c>
      <c r="AC214" s="75">
        <v>4.74</v>
      </c>
      <c r="AD214" s="75">
        <v>-11.94</v>
      </c>
      <c r="AE214" s="75">
        <v>-10.220000000000001</v>
      </c>
      <c r="AF214" s="105">
        <v>-7.165</v>
      </c>
    </row>
    <row r="215" spans="2:32" x14ac:dyDescent="0.3">
      <c r="B215" s="111">
        <v>35.000000000000043</v>
      </c>
      <c r="C215" s="104">
        <v>4.8</v>
      </c>
      <c r="D215" s="75">
        <v>4.6399999999999997</v>
      </c>
      <c r="E215" s="75">
        <v>4.72</v>
      </c>
      <c r="F215" s="75">
        <v>-4.72</v>
      </c>
      <c r="G215" s="75">
        <v>-4.7439999999999998</v>
      </c>
      <c r="H215" s="105">
        <v>-3.4689999999999999</v>
      </c>
      <c r="I215" s="104">
        <v>4.63</v>
      </c>
      <c r="J215" s="75">
        <v>4.4800000000000004</v>
      </c>
      <c r="K215" s="75">
        <v>4.54</v>
      </c>
      <c r="L215" s="75">
        <v>-1.8520000000000001</v>
      </c>
      <c r="M215" s="75">
        <v>-1.881</v>
      </c>
      <c r="N215" s="105">
        <v>-1.381</v>
      </c>
      <c r="O215" s="104">
        <v>20.97</v>
      </c>
      <c r="P215" s="75">
        <v>20.91</v>
      </c>
      <c r="Q215" s="75">
        <v>20.96</v>
      </c>
      <c r="R215" s="75">
        <v>-11.02</v>
      </c>
      <c r="S215" s="75">
        <v>-11.1</v>
      </c>
      <c r="T215" s="105">
        <v>-11.32</v>
      </c>
      <c r="U215" s="104">
        <v>20.64</v>
      </c>
      <c r="V215" s="75">
        <v>20.55</v>
      </c>
      <c r="W215" s="75">
        <v>20.52</v>
      </c>
      <c r="X215" s="75">
        <v>-1.714</v>
      </c>
      <c r="Y215" s="75">
        <v>-2.2210000000000001</v>
      </c>
      <c r="Z215" s="105">
        <v>-2.637</v>
      </c>
      <c r="AA215" s="104">
        <v>4.84</v>
      </c>
      <c r="AB215" s="75">
        <v>4.62</v>
      </c>
      <c r="AC215" s="75">
        <v>4.66</v>
      </c>
      <c r="AD215" s="75">
        <v>-11.07</v>
      </c>
      <c r="AE215" s="75">
        <v>-9.67</v>
      </c>
      <c r="AF215" s="105">
        <v>-6.0170000000000003</v>
      </c>
    </row>
    <row r="216" spans="2:32" x14ac:dyDescent="0.3">
      <c r="B216" s="111">
        <v>35.166666666666707</v>
      </c>
      <c r="C216" s="104">
        <v>4.72</v>
      </c>
      <c r="D216" s="75">
        <v>4.55</v>
      </c>
      <c r="E216" s="75">
        <v>4.63</v>
      </c>
      <c r="F216" s="75">
        <v>-4.6390000000000002</v>
      </c>
      <c r="G216" s="75">
        <v>-4.5259999999999998</v>
      </c>
      <c r="H216" s="105">
        <v>-4.4000000000000004</v>
      </c>
      <c r="I216" s="104">
        <v>4.5599999999999996</v>
      </c>
      <c r="J216" s="75">
        <v>4.3899999999999997</v>
      </c>
      <c r="K216" s="75">
        <v>4.47</v>
      </c>
      <c r="L216" s="75">
        <v>-1.944</v>
      </c>
      <c r="M216" s="75">
        <v>-2.383</v>
      </c>
      <c r="N216" s="105">
        <v>-0.81799999999999995</v>
      </c>
      <c r="O216" s="104">
        <v>20.89</v>
      </c>
      <c r="P216" s="75">
        <v>20.82</v>
      </c>
      <c r="Q216" s="75">
        <v>20.87</v>
      </c>
      <c r="R216" s="75">
        <v>-10.62</v>
      </c>
      <c r="S216" s="75">
        <v>-10.84</v>
      </c>
      <c r="T216" s="105">
        <v>-11.02</v>
      </c>
      <c r="U216" s="104">
        <v>20.57</v>
      </c>
      <c r="V216" s="75">
        <v>20.48</v>
      </c>
      <c r="W216" s="75">
        <v>20.45</v>
      </c>
      <c r="X216" s="75">
        <v>-1.5609999999999999</v>
      </c>
      <c r="Y216" s="75">
        <v>-2.238</v>
      </c>
      <c r="Z216" s="105">
        <v>-2.6749999999999998</v>
      </c>
      <c r="AA216" s="104">
        <v>4.7300000000000004</v>
      </c>
      <c r="AB216" s="75">
        <v>4.5</v>
      </c>
      <c r="AC216" s="75">
        <v>4.54</v>
      </c>
      <c r="AD216" s="75">
        <v>-9.99</v>
      </c>
      <c r="AE216" s="75">
        <v>-8.6199999999999992</v>
      </c>
      <c r="AF216" s="105">
        <v>-4.74</v>
      </c>
    </row>
    <row r="217" spans="2:32" x14ac:dyDescent="0.3">
      <c r="B217" s="111">
        <v>35.333333333333371</v>
      </c>
      <c r="C217" s="104">
        <v>4.62</v>
      </c>
      <c r="D217" s="75">
        <v>4.4800000000000004</v>
      </c>
      <c r="E217" s="75">
        <v>4.54</v>
      </c>
      <c r="F217" s="75">
        <v>-4.8499999999999996</v>
      </c>
      <c r="G217" s="75">
        <v>-4.4400000000000004</v>
      </c>
      <c r="H217" s="105">
        <v>-4.3840000000000003</v>
      </c>
      <c r="I217" s="104">
        <v>4.47</v>
      </c>
      <c r="J217" s="75">
        <v>4.32</v>
      </c>
      <c r="K217" s="75">
        <v>4.38</v>
      </c>
      <c r="L217" s="75">
        <v>-1.9359999999999999</v>
      </c>
      <c r="M217" s="75">
        <v>-2.2149999999999999</v>
      </c>
      <c r="N217" s="105">
        <v>-1.907</v>
      </c>
      <c r="O217" s="104">
        <v>20.8</v>
      </c>
      <c r="P217" s="75">
        <v>20.73</v>
      </c>
      <c r="Q217" s="75">
        <v>20.78</v>
      </c>
      <c r="R217" s="75">
        <v>-10.35</v>
      </c>
      <c r="S217" s="75">
        <v>-10.36</v>
      </c>
      <c r="T217" s="105">
        <v>-10.64</v>
      </c>
      <c r="U217" s="104">
        <v>20.5</v>
      </c>
      <c r="V217" s="75">
        <v>20.41</v>
      </c>
      <c r="W217" s="75">
        <v>20.38</v>
      </c>
      <c r="X217" s="75">
        <v>-1.587</v>
      </c>
      <c r="Y217" s="75">
        <v>-1.9770000000000001</v>
      </c>
      <c r="Z217" s="105">
        <v>-2.5710000000000002</v>
      </c>
      <c r="AA217" s="104">
        <v>4.5999999999999996</v>
      </c>
      <c r="AB217" s="75">
        <v>4.4000000000000004</v>
      </c>
      <c r="AC217" s="75">
        <v>4.43</v>
      </c>
      <c r="AD217" s="75">
        <v>-9.35</v>
      </c>
      <c r="AE217" s="75">
        <v>-7.6040000000000001</v>
      </c>
      <c r="AF217" s="105">
        <v>-3.8759999999999999</v>
      </c>
    </row>
    <row r="218" spans="2:32" x14ac:dyDescent="0.3">
      <c r="B218" s="111">
        <v>35.500000000000036</v>
      </c>
      <c r="C218" s="104">
        <v>4.54</v>
      </c>
      <c r="D218" s="75">
        <v>4.3899999999999997</v>
      </c>
      <c r="E218" s="75">
        <v>4.49</v>
      </c>
      <c r="F218" s="75">
        <v>-4.5359999999999996</v>
      </c>
      <c r="G218" s="75">
        <v>-4.3029999999999999</v>
      </c>
      <c r="H218" s="105">
        <v>-3.573</v>
      </c>
      <c r="I218" s="104">
        <v>4.38</v>
      </c>
      <c r="J218" s="75">
        <v>4.24</v>
      </c>
      <c r="K218" s="75">
        <v>4.33</v>
      </c>
      <c r="L218" s="75">
        <v>-2.3959999999999999</v>
      </c>
      <c r="M218" s="75">
        <v>-2.0449999999999999</v>
      </c>
      <c r="N218" s="105">
        <v>-2.0590000000000002</v>
      </c>
      <c r="O218" s="104">
        <v>20.7</v>
      </c>
      <c r="P218" s="75">
        <v>20.64</v>
      </c>
      <c r="Q218" s="75">
        <v>20.7</v>
      </c>
      <c r="R218" s="75">
        <v>-10.27</v>
      </c>
      <c r="S218" s="75">
        <v>-10.32</v>
      </c>
      <c r="T218" s="105">
        <v>-10.36</v>
      </c>
      <c r="U218" s="104">
        <v>20.420000000000002</v>
      </c>
      <c r="V218" s="75">
        <v>20.34</v>
      </c>
      <c r="W218" s="75">
        <v>20.309999999999999</v>
      </c>
      <c r="X218" s="75">
        <v>-1.8109999999999999</v>
      </c>
      <c r="Y218" s="75">
        <v>-2.2280000000000002</v>
      </c>
      <c r="Z218" s="105">
        <v>-2.59</v>
      </c>
      <c r="AA218" s="104">
        <v>4.4800000000000004</v>
      </c>
      <c r="AB218" s="75">
        <v>4.29</v>
      </c>
      <c r="AC218" s="75">
        <v>4.3499999999999996</v>
      </c>
      <c r="AD218" s="75">
        <v>-8.24</v>
      </c>
      <c r="AE218" s="75">
        <v>-6.6520000000000001</v>
      </c>
      <c r="AF218" s="105">
        <v>-2.7919999999999998</v>
      </c>
    </row>
    <row r="219" spans="2:32" x14ac:dyDescent="0.3">
      <c r="B219" s="111">
        <v>35.6666666666667</v>
      </c>
      <c r="C219" s="104">
        <v>4.41</v>
      </c>
      <c r="D219" s="75">
        <v>4.3099999999999996</v>
      </c>
      <c r="E219" s="75">
        <v>4.41</v>
      </c>
      <c r="F219" s="75">
        <v>-4.4039999999999999</v>
      </c>
      <c r="G219" s="75">
        <v>-4.0720000000000001</v>
      </c>
      <c r="H219" s="105">
        <v>-3.988</v>
      </c>
      <c r="I219" s="104">
        <v>4.2699999999999996</v>
      </c>
      <c r="J219" s="75">
        <v>4.16</v>
      </c>
      <c r="K219" s="75">
        <v>4.25</v>
      </c>
      <c r="L219" s="75">
        <v>-2.073</v>
      </c>
      <c r="M219" s="75">
        <v>-1.89</v>
      </c>
      <c r="N219" s="105">
        <v>-1.248</v>
      </c>
      <c r="O219" s="104">
        <v>20.62</v>
      </c>
      <c r="P219" s="75">
        <v>20.54</v>
      </c>
      <c r="Q219" s="75">
        <v>20.61</v>
      </c>
      <c r="R219" s="75">
        <v>-10.039999999999999</v>
      </c>
      <c r="S219" s="75">
        <v>-10.24</v>
      </c>
      <c r="T219" s="105">
        <v>-10.199999999999999</v>
      </c>
      <c r="U219" s="104">
        <v>20.350000000000001</v>
      </c>
      <c r="V219" s="75">
        <v>20.25</v>
      </c>
      <c r="W219" s="75">
        <v>20.239999999999998</v>
      </c>
      <c r="X219" s="75">
        <v>-1.7549999999999999</v>
      </c>
      <c r="Y219" s="75">
        <v>-2.4260000000000002</v>
      </c>
      <c r="Z219" s="105">
        <v>-2.7109999999999999</v>
      </c>
      <c r="AA219" s="104">
        <v>4.3099999999999996</v>
      </c>
      <c r="AB219" s="75">
        <v>4.18</v>
      </c>
      <c r="AC219" s="75">
        <v>4.25</v>
      </c>
      <c r="AD219" s="75">
        <v>-6.8890000000000002</v>
      </c>
      <c r="AE219" s="75">
        <v>-5.798</v>
      </c>
      <c r="AF219" s="105">
        <v>-2.9809999999999999</v>
      </c>
    </row>
    <row r="220" spans="2:32" x14ac:dyDescent="0.3">
      <c r="B220" s="111">
        <v>35.833333333333364</v>
      </c>
      <c r="C220" s="104">
        <v>4.3</v>
      </c>
      <c r="D220" s="75">
        <v>4.2300000000000004</v>
      </c>
      <c r="E220" s="75">
        <v>4.37</v>
      </c>
      <c r="F220" s="75">
        <v>-4.1429999999999998</v>
      </c>
      <c r="G220" s="75">
        <v>-4.1040000000000001</v>
      </c>
      <c r="H220" s="105">
        <v>-3.2450000000000001</v>
      </c>
      <c r="I220" s="104">
        <v>4.1500000000000004</v>
      </c>
      <c r="J220" s="75">
        <v>4.08</v>
      </c>
      <c r="K220" s="75">
        <v>4.2</v>
      </c>
      <c r="L220" s="75">
        <v>-2.0049999999999999</v>
      </c>
      <c r="M220" s="75">
        <v>-1.917</v>
      </c>
      <c r="N220" s="105">
        <v>-1.6779999999999999</v>
      </c>
      <c r="O220" s="104">
        <v>20.52</v>
      </c>
      <c r="P220" s="75">
        <v>20.45</v>
      </c>
      <c r="Q220" s="75">
        <v>20.51</v>
      </c>
      <c r="R220" s="75">
        <v>-9.98</v>
      </c>
      <c r="S220" s="75">
        <v>-9.9499999999999993</v>
      </c>
      <c r="T220" s="105">
        <v>-10.08</v>
      </c>
      <c r="U220" s="104">
        <v>20.27</v>
      </c>
      <c r="V220" s="75">
        <v>20.18</v>
      </c>
      <c r="W220" s="75">
        <v>20.16</v>
      </c>
      <c r="X220" s="75">
        <v>-2.0009999999999999</v>
      </c>
      <c r="Y220" s="75">
        <v>-2.36</v>
      </c>
      <c r="Z220" s="105">
        <v>-2.9119999999999999</v>
      </c>
      <c r="AA220" s="104">
        <v>4.16</v>
      </c>
      <c r="AB220" s="75">
        <v>4.08</v>
      </c>
      <c r="AC220" s="75">
        <v>4.18</v>
      </c>
      <c r="AD220" s="75">
        <v>-5.6890000000000001</v>
      </c>
      <c r="AE220" s="75">
        <v>-5.1349999999999998</v>
      </c>
      <c r="AF220" s="105">
        <v>-2.851</v>
      </c>
    </row>
    <row r="221" spans="2:32" x14ac:dyDescent="0.3">
      <c r="B221" s="111">
        <v>36.000000000000028</v>
      </c>
      <c r="C221" s="104">
        <v>4.22</v>
      </c>
      <c r="D221" s="75">
        <v>4.1500000000000004</v>
      </c>
      <c r="E221" s="75">
        <v>4.32</v>
      </c>
      <c r="F221" s="75">
        <v>-4.008</v>
      </c>
      <c r="G221" s="75">
        <v>-3.919</v>
      </c>
      <c r="H221" s="105">
        <v>-3.327</v>
      </c>
      <c r="I221" s="104">
        <v>4.07</v>
      </c>
      <c r="J221" s="75">
        <v>4.01</v>
      </c>
      <c r="K221" s="75">
        <v>4.1500000000000004</v>
      </c>
      <c r="L221" s="75">
        <v>-1.9</v>
      </c>
      <c r="M221" s="75">
        <v>-1.8120000000000001</v>
      </c>
      <c r="N221" s="105">
        <v>-0.86099999999999999</v>
      </c>
      <c r="O221" s="104">
        <v>20.420000000000002</v>
      </c>
      <c r="P221" s="75">
        <v>20.350000000000001</v>
      </c>
      <c r="Q221" s="75">
        <v>20.41</v>
      </c>
      <c r="R221" s="75">
        <v>-9.6</v>
      </c>
      <c r="S221" s="75">
        <v>-9.65</v>
      </c>
      <c r="T221" s="105">
        <v>-9.86</v>
      </c>
      <c r="U221" s="104">
        <v>20.190000000000001</v>
      </c>
      <c r="V221" s="75">
        <v>20.100000000000001</v>
      </c>
      <c r="W221" s="75">
        <v>20.079999999999998</v>
      </c>
      <c r="X221" s="75">
        <v>-1.8879999999999999</v>
      </c>
      <c r="Y221" s="75">
        <v>-2.278</v>
      </c>
      <c r="Z221" s="105">
        <v>-2.9039999999999999</v>
      </c>
      <c r="AA221" s="104">
        <v>4.0599999999999996</v>
      </c>
      <c r="AB221" s="75">
        <v>3.98</v>
      </c>
      <c r="AC221" s="75">
        <v>4.1100000000000003</v>
      </c>
      <c r="AD221" s="75">
        <v>-4.8840000000000003</v>
      </c>
      <c r="AE221" s="75">
        <v>-4.4119999999999999</v>
      </c>
      <c r="AF221" s="105">
        <v>-2.6019999999999999</v>
      </c>
    </row>
    <row r="222" spans="2:32" x14ac:dyDescent="0.3">
      <c r="B222" s="111">
        <v>36.166666666666693</v>
      </c>
      <c r="C222" s="104">
        <v>4.1399999999999997</v>
      </c>
      <c r="D222" s="75">
        <v>4.08</v>
      </c>
      <c r="E222" s="75">
        <v>4.26</v>
      </c>
      <c r="F222" s="75">
        <v>-3.919</v>
      </c>
      <c r="G222" s="75">
        <v>-3.8719999999999999</v>
      </c>
      <c r="H222" s="105">
        <v>-3.0619999999999998</v>
      </c>
      <c r="I222" s="104">
        <v>4</v>
      </c>
      <c r="J222" s="75">
        <v>3.94</v>
      </c>
      <c r="K222" s="75">
        <v>4.0999999999999996</v>
      </c>
      <c r="L222" s="75">
        <v>-1.855</v>
      </c>
      <c r="M222" s="75">
        <v>-1.778</v>
      </c>
      <c r="N222" s="105">
        <v>-1.01</v>
      </c>
      <c r="O222" s="104">
        <v>20.329999999999998</v>
      </c>
      <c r="P222" s="75">
        <v>20.28</v>
      </c>
      <c r="Q222" s="75">
        <v>20.32</v>
      </c>
      <c r="R222" s="75">
        <v>-9.36</v>
      </c>
      <c r="S222" s="75">
        <v>-9.1199999999999992</v>
      </c>
      <c r="T222" s="105">
        <v>-9.44</v>
      </c>
      <c r="U222" s="104">
        <v>20.11</v>
      </c>
      <c r="V222" s="75">
        <v>20.04</v>
      </c>
      <c r="W222" s="75">
        <v>20</v>
      </c>
      <c r="X222" s="75">
        <v>-1.8149999999999999</v>
      </c>
      <c r="Y222" s="75">
        <v>-1.9510000000000001</v>
      </c>
      <c r="Z222" s="105">
        <v>-2.694</v>
      </c>
      <c r="AA222" s="104">
        <v>3.97</v>
      </c>
      <c r="AB222" s="75">
        <v>3.89</v>
      </c>
      <c r="AC222" s="75">
        <v>4.04</v>
      </c>
      <c r="AD222" s="75">
        <v>-4.258</v>
      </c>
      <c r="AE222" s="75">
        <v>-3.8050000000000002</v>
      </c>
      <c r="AF222" s="105">
        <v>-2.3719999999999999</v>
      </c>
    </row>
    <row r="223" spans="2:32" x14ac:dyDescent="0.3">
      <c r="B223" s="111">
        <v>36.333333333333357</v>
      </c>
      <c r="C223" s="104">
        <v>4.07</v>
      </c>
      <c r="D223" s="75">
        <v>4.01</v>
      </c>
      <c r="E223" s="75">
        <v>4.24</v>
      </c>
      <c r="F223" s="75">
        <v>-3.8530000000000002</v>
      </c>
      <c r="G223" s="75">
        <v>-3.8159999999999998</v>
      </c>
      <c r="H223" s="105">
        <v>-2.633</v>
      </c>
      <c r="I223" s="104">
        <v>3.93</v>
      </c>
      <c r="J223" s="75">
        <v>3.87</v>
      </c>
      <c r="K223" s="75">
        <v>4.07</v>
      </c>
      <c r="L223" s="75">
        <v>-1.726</v>
      </c>
      <c r="M223" s="75">
        <v>-1.8080000000000001</v>
      </c>
      <c r="N223" s="105">
        <v>-0.71499999999999997</v>
      </c>
      <c r="O223" s="104">
        <v>20.25</v>
      </c>
      <c r="P223" s="75">
        <v>20.190000000000001</v>
      </c>
      <c r="Q223" s="75">
        <v>20.23</v>
      </c>
      <c r="R223" s="75">
        <v>-9.1300000000000008</v>
      </c>
      <c r="S223" s="75">
        <v>-9.17</v>
      </c>
      <c r="T223" s="105">
        <v>-9.18</v>
      </c>
      <c r="U223" s="104">
        <v>20.04</v>
      </c>
      <c r="V223" s="75">
        <v>19.96</v>
      </c>
      <c r="W223" s="75">
        <v>19.920000000000002</v>
      </c>
      <c r="X223" s="75">
        <v>-1.7789999999999999</v>
      </c>
      <c r="Y223" s="75">
        <v>-2.2450000000000001</v>
      </c>
      <c r="Z223" s="105">
        <v>-2.6339999999999999</v>
      </c>
      <c r="AA223" s="104">
        <v>3.88</v>
      </c>
      <c r="AB223" s="75">
        <v>3.8</v>
      </c>
      <c r="AC223" s="75">
        <v>4</v>
      </c>
      <c r="AD223" s="75">
        <v>-3.7839999999999998</v>
      </c>
      <c r="AE223" s="75">
        <v>-3.3929999999999998</v>
      </c>
      <c r="AF223" s="105">
        <v>-2.085</v>
      </c>
    </row>
    <row r="224" spans="2:32" x14ac:dyDescent="0.3">
      <c r="B224" s="111">
        <v>36.500000000000021</v>
      </c>
      <c r="C224" s="104">
        <v>4</v>
      </c>
      <c r="D224" s="75">
        <v>3.94</v>
      </c>
      <c r="E224" s="75">
        <v>4.17</v>
      </c>
      <c r="F224" s="75">
        <v>-3.7480000000000002</v>
      </c>
      <c r="G224" s="75">
        <v>-3.649</v>
      </c>
      <c r="H224" s="105">
        <v>-3.1280000000000001</v>
      </c>
      <c r="I224" s="104">
        <v>3.86</v>
      </c>
      <c r="J224" s="75">
        <v>3.79</v>
      </c>
      <c r="K224" s="75">
        <v>4.0199999999999996</v>
      </c>
      <c r="L224" s="75">
        <v>-1.7150000000000001</v>
      </c>
      <c r="M224" s="75">
        <v>-1.617</v>
      </c>
      <c r="N224" s="105">
        <v>-0.35399999999999998</v>
      </c>
      <c r="O224" s="104">
        <v>20.16</v>
      </c>
      <c r="P224" s="75">
        <v>20.100000000000001</v>
      </c>
      <c r="Q224" s="75">
        <v>20.149999999999999</v>
      </c>
      <c r="R224" s="75">
        <v>-8.75</v>
      </c>
      <c r="S224" s="75">
        <v>-8.64</v>
      </c>
      <c r="T224" s="105">
        <v>-8.6999999999999993</v>
      </c>
      <c r="U224" s="104">
        <v>19.97</v>
      </c>
      <c r="V224" s="75">
        <v>19.89</v>
      </c>
      <c r="W224" s="75">
        <v>19.850000000000001</v>
      </c>
      <c r="X224" s="75">
        <v>-1.639</v>
      </c>
      <c r="Y224" s="75">
        <v>-1.954</v>
      </c>
      <c r="Z224" s="105">
        <v>-2.3679999999999999</v>
      </c>
      <c r="AA224" s="104">
        <v>3.79</v>
      </c>
      <c r="AB224" s="75">
        <v>3.72</v>
      </c>
      <c r="AC224" s="75">
        <v>3.92</v>
      </c>
      <c r="AD224" s="75">
        <v>-3.238</v>
      </c>
      <c r="AE224" s="75">
        <v>-2.851</v>
      </c>
      <c r="AF224" s="105">
        <v>-1.911</v>
      </c>
    </row>
    <row r="225" spans="2:32" x14ac:dyDescent="0.3">
      <c r="B225" s="111">
        <v>36.666666666666686</v>
      </c>
      <c r="C225" s="104">
        <v>3.94</v>
      </c>
      <c r="D225" s="75">
        <v>3.87</v>
      </c>
      <c r="E225" s="75">
        <v>4.1100000000000003</v>
      </c>
      <c r="F225" s="75">
        <v>-3.786</v>
      </c>
      <c r="G225" s="75">
        <v>-3.6320000000000001</v>
      </c>
      <c r="H225" s="105">
        <v>-3.444</v>
      </c>
      <c r="I225" s="104">
        <v>3.8</v>
      </c>
      <c r="J225" s="75">
        <v>3.72</v>
      </c>
      <c r="K225" s="75">
        <v>3.97</v>
      </c>
      <c r="L225" s="75">
        <v>-1.6910000000000001</v>
      </c>
      <c r="M225" s="75">
        <v>-1.6060000000000001</v>
      </c>
      <c r="N225" s="105">
        <v>-0.88200000000000001</v>
      </c>
      <c r="O225" s="104">
        <v>20.07</v>
      </c>
      <c r="P225" s="75">
        <v>20.02</v>
      </c>
      <c r="Q225" s="75">
        <v>20.059999999999999</v>
      </c>
      <c r="R225" s="75">
        <v>-8.31</v>
      </c>
      <c r="S225" s="75">
        <v>-8.3699999999999992</v>
      </c>
      <c r="T225" s="105">
        <v>-8.51</v>
      </c>
      <c r="U225" s="104">
        <v>19.899999999999999</v>
      </c>
      <c r="V225" s="75">
        <v>19.82</v>
      </c>
      <c r="W225" s="75">
        <v>19.79</v>
      </c>
      <c r="X225" s="75">
        <v>-1.3680000000000001</v>
      </c>
      <c r="Y225" s="75">
        <v>-1.891</v>
      </c>
      <c r="Z225" s="105">
        <v>-2.4289999999999998</v>
      </c>
      <c r="AA225" s="104">
        <v>3.71</v>
      </c>
      <c r="AB225" s="75">
        <v>3.63</v>
      </c>
      <c r="AC225" s="75">
        <v>3.85</v>
      </c>
      <c r="AD225" s="75">
        <v>-2.86</v>
      </c>
      <c r="AE225" s="75">
        <v>-2.702</v>
      </c>
      <c r="AF225" s="105">
        <v>-1.5760000000000001</v>
      </c>
    </row>
    <row r="226" spans="2:32" x14ac:dyDescent="0.3">
      <c r="B226" s="111">
        <v>36.83333333333335</v>
      </c>
      <c r="C226" s="104">
        <v>3.86</v>
      </c>
      <c r="D226" s="75">
        <v>3.79</v>
      </c>
      <c r="E226" s="75">
        <v>4.0599999999999996</v>
      </c>
      <c r="F226" s="75">
        <v>-3.5249999999999999</v>
      </c>
      <c r="G226" s="75">
        <v>-3.8769999999999998</v>
      </c>
      <c r="H226" s="105">
        <v>-3.2</v>
      </c>
      <c r="I226" s="104">
        <v>3.72</v>
      </c>
      <c r="J226" s="75">
        <v>3.65</v>
      </c>
      <c r="K226" s="75">
        <v>3.91</v>
      </c>
      <c r="L226" s="75">
        <v>-1.47</v>
      </c>
      <c r="M226" s="75">
        <v>-1.617</v>
      </c>
      <c r="N226" s="105">
        <v>-1.266</v>
      </c>
      <c r="O226" s="104">
        <v>19.989999999999998</v>
      </c>
      <c r="P226" s="75">
        <v>19.940000000000001</v>
      </c>
      <c r="Q226" s="75">
        <v>19.97</v>
      </c>
      <c r="R226" s="75">
        <v>-8.25</v>
      </c>
      <c r="S226" s="75">
        <v>-7.9770000000000003</v>
      </c>
      <c r="T226" s="105">
        <v>-8.3000000000000007</v>
      </c>
      <c r="U226" s="104">
        <v>19.829999999999998</v>
      </c>
      <c r="V226" s="75">
        <v>19.760000000000002</v>
      </c>
      <c r="W226" s="75">
        <v>19.71</v>
      </c>
      <c r="X226" s="75">
        <v>-1.5169999999999999</v>
      </c>
      <c r="Y226" s="75">
        <v>-1.7589999999999999</v>
      </c>
      <c r="Z226" s="105">
        <v>-2.4590000000000001</v>
      </c>
      <c r="AA226" s="104">
        <v>3.62</v>
      </c>
      <c r="AB226" s="75">
        <v>3.54</v>
      </c>
      <c r="AC226" s="75">
        <v>3.79</v>
      </c>
      <c r="AD226" s="75">
        <v>-2.484</v>
      </c>
      <c r="AE226" s="75">
        <v>-2.5720000000000001</v>
      </c>
      <c r="AF226" s="105">
        <v>-1.673</v>
      </c>
    </row>
    <row r="227" spans="2:32" x14ac:dyDescent="0.3">
      <c r="B227" s="111">
        <v>37.000000000000014</v>
      </c>
      <c r="C227" s="104">
        <v>3.79</v>
      </c>
      <c r="D227" s="75">
        <v>3.72</v>
      </c>
      <c r="E227" s="75">
        <v>4</v>
      </c>
      <c r="F227" s="75">
        <v>-3.6440000000000001</v>
      </c>
      <c r="G227" s="75">
        <v>-3.492</v>
      </c>
      <c r="H227" s="105">
        <v>-3.359</v>
      </c>
      <c r="I227" s="104">
        <v>3.66</v>
      </c>
      <c r="J227" s="75">
        <v>3.58</v>
      </c>
      <c r="K227" s="75">
        <v>3.86</v>
      </c>
      <c r="L227" s="75">
        <v>-1.5489999999999999</v>
      </c>
      <c r="M227" s="75">
        <v>-1.954</v>
      </c>
      <c r="N227" s="105">
        <v>-0.93200000000000005</v>
      </c>
      <c r="O227" s="104">
        <v>19.899999999999999</v>
      </c>
      <c r="P227" s="75">
        <v>19.850000000000001</v>
      </c>
      <c r="Q227" s="75">
        <v>19.89</v>
      </c>
      <c r="R227" s="75">
        <v>-8.1</v>
      </c>
      <c r="S227" s="75">
        <v>-7.7149999999999999</v>
      </c>
      <c r="T227" s="105">
        <v>-8.1300000000000008</v>
      </c>
      <c r="U227" s="104">
        <v>19.760000000000002</v>
      </c>
      <c r="V227" s="75">
        <v>19.68</v>
      </c>
      <c r="W227" s="75">
        <v>19.64</v>
      </c>
      <c r="X227" s="75">
        <v>-1.6919999999999999</v>
      </c>
      <c r="Y227" s="75">
        <v>-1.734</v>
      </c>
      <c r="Z227" s="105">
        <v>-2.5619999999999998</v>
      </c>
      <c r="AA227" s="104">
        <v>3.55</v>
      </c>
      <c r="AB227" s="75">
        <v>3.47</v>
      </c>
      <c r="AC227" s="75">
        <v>3.73</v>
      </c>
      <c r="AD227" s="75">
        <v>-2.2280000000000002</v>
      </c>
      <c r="AE227" s="75">
        <v>-2.085</v>
      </c>
      <c r="AF227" s="105">
        <v>-1.8380000000000001</v>
      </c>
    </row>
    <row r="228" spans="2:32" x14ac:dyDescent="0.3">
      <c r="B228" s="111">
        <v>37.166666666666679</v>
      </c>
      <c r="C228" s="104">
        <v>3.72</v>
      </c>
      <c r="D228" s="75">
        <v>3.65</v>
      </c>
      <c r="E228" s="75">
        <v>3.96</v>
      </c>
      <c r="F228" s="75">
        <v>-3.6160000000000001</v>
      </c>
      <c r="G228" s="75">
        <v>-3.4510000000000001</v>
      </c>
      <c r="H228" s="105">
        <v>-3.407</v>
      </c>
      <c r="I228" s="104">
        <v>3.59</v>
      </c>
      <c r="J228" s="75">
        <v>3.51</v>
      </c>
      <c r="K228" s="75">
        <v>3.82</v>
      </c>
      <c r="L228" s="75">
        <v>-1.4990000000000001</v>
      </c>
      <c r="M228" s="75">
        <v>-1.56</v>
      </c>
      <c r="N228" s="105">
        <v>-0.98499999999999999</v>
      </c>
      <c r="O228" s="104">
        <v>19.82</v>
      </c>
      <c r="P228" s="75">
        <v>19.77</v>
      </c>
      <c r="Q228" s="75">
        <v>19.8</v>
      </c>
      <c r="R228" s="75">
        <v>-7.81</v>
      </c>
      <c r="S228" s="75">
        <v>-7.6980000000000004</v>
      </c>
      <c r="T228" s="105">
        <v>-7.9</v>
      </c>
      <c r="U228" s="104">
        <v>19.690000000000001</v>
      </c>
      <c r="V228" s="75">
        <v>19.62</v>
      </c>
      <c r="W228" s="75">
        <v>19.57</v>
      </c>
      <c r="X228" s="75">
        <v>-1.5820000000000001</v>
      </c>
      <c r="Y228" s="75">
        <v>-1.9430000000000001</v>
      </c>
      <c r="Z228" s="105">
        <v>-2.5910000000000002</v>
      </c>
      <c r="AA228" s="104">
        <v>3.47</v>
      </c>
      <c r="AB228" s="75">
        <v>3.4</v>
      </c>
      <c r="AC228" s="75">
        <v>3.69</v>
      </c>
      <c r="AD228" s="75">
        <v>-2.125</v>
      </c>
      <c r="AE228" s="75">
        <v>-1.911</v>
      </c>
      <c r="AF228" s="105">
        <v>-1.468</v>
      </c>
    </row>
    <row r="229" spans="2:32" x14ac:dyDescent="0.3">
      <c r="B229" s="111">
        <v>37.333333333333343</v>
      </c>
      <c r="C229" s="104">
        <v>3.66</v>
      </c>
      <c r="D229" s="75">
        <v>3.58</v>
      </c>
      <c r="E229" s="75">
        <v>3.93</v>
      </c>
      <c r="F229" s="75">
        <v>-3.2709999999999999</v>
      </c>
      <c r="G229" s="75">
        <v>-3.4620000000000002</v>
      </c>
      <c r="H229" s="105">
        <v>-3.161</v>
      </c>
      <c r="I229" s="104">
        <v>3.53</v>
      </c>
      <c r="J229" s="75">
        <v>3.44</v>
      </c>
      <c r="K229" s="75">
        <v>3.78</v>
      </c>
      <c r="L229" s="75">
        <v>-1.6539999999999999</v>
      </c>
      <c r="M229" s="75">
        <v>-1.484</v>
      </c>
      <c r="N229" s="105">
        <v>-0.72399999999999998</v>
      </c>
      <c r="O229" s="104">
        <v>19.73</v>
      </c>
      <c r="P229" s="75">
        <v>19.68</v>
      </c>
      <c r="Q229" s="75">
        <v>19.72</v>
      </c>
      <c r="R229" s="75">
        <v>-7.5209999999999999</v>
      </c>
      <c r="S229" s="75">
        <v>-7.423</v>
      </c>
      <c r="T229" s="105">
        <v>-7.4829999999999997</v>
      </c>
      <c r="U229" s="104">
        <v>19.62</v>
      </c>
      <c r="V229" s="75">
        <v>19.55</v>
      </c>
      <c r="W229" s="75">
        <v>19.5</v>
      </c>
      <c r="X229" s="75">
        <v>-1.524</v>
      </c>
      <c r="Y229" s="75">
        <v>-1.907</v>
      </c>
      <c r="Z229" s="105">
        <v>-2.3620000000000001</v>
      </c>
      <c r="AA229" s="104">
        <v>3.41</v>
      </c>
      <c r="AB229" s="75">
        <v>3.32</v>
      </c>
      <c r="AC229" s="75">
        <v>3.65</v>
      </c>
      <c r="AD229" s="75">
        <v>-1.6870000000000001</v>
      </c>
      <c r="AE229" s="75">
        <v>-1.5760000000000001</v>
      </c>
      <c r="AF229" s="105">
        <v>-1.69</v>
      </c>
    </row>
    <row r="230" spans="2:32" x14ac:dyDescent="0.3">
      <c r="B230" s="111">
        <v>37.500000000000007</v>
      </c>
      <c r="C230" s="104">
        <v>3.6</v>
      </c>
      <c r="D230" s="75">
        <v>3.52</v>
      </c>
      <c r="E230" s="75">
        <v>3.88</v>
      </c>
      <c r="F230" s="75">
        <v>-3.4729999999999999</v>
      </c>
      <c r="G230" s="75">
        <v>-3.5510000000000002</v>
      </c>
      <c r="H230" s="105">
        <v>-3.0619999999999998</v>
      </c>
      <c r="I230" s="104">
        <v>3.46</v>
      </c>
      <c r="J230" s="75">
        <v>3.37</v>
      </c>
      <c r="K230" s="75">
        <v>3.73</v>
      </c>
      <c r="L230" s="75">
        <v>-1.276</v>
      </c>
      <c r="M230" s="75">
        <v>-1.395</v>
      </c>
      <c r="N230" s="105">
        <v>-0.80600000000000005</v>
      </c>
      <c r="O230" s="104">
        <v>19.649999999999999</v>
      </c>
      <c r="P230" s="75">
        <v>19.61</v>
      </c>
      <c r="Q230" s="75">
        <v>19.64</v>
      </c>
      <c r="R230" s="75">
        <v>-7.2229999999999999</v>
      </c>
      <c r="S230" s="75">
        <v>-7.1840000000000002</v>
      </c>
      <c r="T230" s="105">
        <v>-7.1820000000000004</v>
      </c>
      <c r="U230" s="104">
        <v>19.55</v>
      </c>
      <c r="V230" s="75">
        <v>19.48</v>
      </c>
      <c r="W230" s="75">
        <v>19.43</v>
      </c>
      <c r="X230" s="75">
        <v>-1.377</v>
      </c>
      <c r="Y230" s="75">
        <v>-1.8660000000000001</v>
      </c>
      <c r="Z230" s="105">
        <v>-2.2610000000000001</v>
      </c>
      <c r="AA230" s="104">
        <v>3.33</v>
      </c>
      <c r="AB230" s="75">
        <v>3.25</v>
      </c>
      <c r="AC230" s="75">
        <v>3.59</v>
      </c>
      <c r="AD230" s="75">
        <v>-1.6319999999999999</v>
      </c>
      <c r="AE230" s="75">
        <v>-1.673</v>
      </c>
      <c r="AF230" s="105">
        <v>-0.96399999999999997</v>
      </c>
    </row>
    <row r="231" spans="2:32" x14ac:dyDescent="0.3">
      <c r="B231" s="111">
        <v>37.666666666666671</v>
      </c>
      <c r="C231" s="104">
        <v>3.53</v>
      </c>
      <c r="D231" s="75">
        <v>3.44</v>
      </c>
      <c r="E231" s="75">
        <v>3.8</v>
      </c>
      <c r="F231" s="75">
        <v>-3.4289999999999998</v>
      </c>
      <c r="G231" s="75">
        <v>-3.8919999999999999</v>
      </c>
      <c r="H231" s="105">
        <v>-2.9489999999999998</v>
      </c>
      <c r="I231" s="104">
        <v>3.4</v>
      </c>
      <c r="J231" s="75">
        <v>3.3</v>
      </c>
      <c r="K231" s="75">
        <v>3.66</v>
      </c>
      <c r="L231" s="75">
        <v>-1.319</v>
      </c>
      <c r="M231" s="75">
        <v>-1.6990000000000001</v>
      </c>
      <c r="N231" s="105">
        <v>-0.71699999999999997</v>
      </c>
      <c r="O231" s="104">
        <v>19.57</v>
      </c>
      <c r="P231" s="75">
        <v>19.52</v>
      </c>
      <c r="Q231" s="75">
        <v>19.559999999999999</v>
      </c>
      <c r="R231" s="75">
        <v>-7.0149999999999997</v>
      </c>
      <c r="S231" s="75">
        <v>-7.1459999999999999</v>
      </c>
      <c r="T231" s="105">
        <v>-7.0140000000000002</v>
      </c>
      <c r="U231" s="104">
        <v>19.48</v>
      </c>
      <c r="V231" s="75">
        <v>19.41</v>
      </c>
      <c r="W231" s="75">
        <v>19.37</v>
      </c>
      <c r="X231" s="75">
        <v>-1.369</v>
      </c>
      <c r="Y231" s="75">
        <v>-2.0219999999999998</v>
      </c>
      <c r="Z231" s="105">
        <v>-2.2549999999999999</v>
      </c>
      <c r="AA231" s="104">
        <v>3.27</v>
      </c>
      <c r="AB231" s="75">
        <v>3.16</v>
      </c>
      <c r="AC231" s="75">
        <v>3.51</v>
      </c>
      <c r="AD231" s="75">
        <v>-1.506</v>
      </c>
      <c r="AE231" s="75">
        <v>-1.8380000000000001</v>
      </c>
      <c r="AF231" s="105">
        <v>-0.81699999999999995</v>
      </c>
    </row>
    <row r="232" spans="2:32" x14ac:dyDescent="0.3">
      <c r="B232" s="111">
        <v>37.833333333333336</v>
      </c>
      <c r="C232" s="104">
        <v>3.48</v>
      </c>
      <c r="D232" s="75">
        <v>3.48</v>
      </c>
      <c r="E232" s="75">
        <v>3.65</v>
      </c>
      <c r="F232" s="75">
        <v>-2.9980000000000002</v>
      </c>
      <c r="G232" s="75">
        <v>-3.6280000000000001</v>
      </c>
      <c r="H232" s="105">
        <v>-2.863</v>
      </c>
      <c r="I232" s="104">
        <v>3.34</v>
      </c>
      <c r="J232" s="75">
        <v>3.32</v>
      </c>
      <c r="K232" s="75">
        <v>3.52</v>
      </c>
      <c r="L232" s="75">
        <v>-1.42</v>
      </c>
      <c r="M232" s="75">
        <v>-1.7849999999999999</v>
      </c>
      <c r="N232" s="105">
        <v>-0.77100000000000002</v>
      </c>
      <c r="O232" s="104">
        <v>19.5</v>
      </c>
      <c r="P232" s="75">
        <v>19.43</v>
      </c>
      <c r="Q232" s="75">
        <v>19.489999999999998</v>
      </c>
      <c r="R232" s="75">
        <v>-6.62</v>
      </c>
      <c r="S232" s="75">
        <v>-6.7569999999999997</v>
      </c>
      <c r="T232" s="105">
        <v>-6.5819999999999999</v>
      </c>
      <c r="U232" s="104">
        <v>19.420000000000002</v>
      </c>
      <c r="V232" s="75">
        <v>19.34</v>
      </c>
      <c r="W232" s="75">
        <v>19.309999999999999</v>
      </c>
      <c r="X232" s="75">
        <v>-1.1719999999999999</v>
      </c>
      <c r="Y232" s="75">
        <v>-1.776</v>
      </c>
      <c r="Z232" s="105">
        <v>-2.0779999999999998</v>
      </c>
      <c r="AA232" s="104">
        <v>3.21</v>
      </c>
      <c r="AB232" s="75">
        <v>3.2</v>
      </c>
      <c r="AC232" s="75">
        <v>3.36</v>
      </c>
      <c r="AD232" s="75">
        <v>-1.123</v>
      </c>
      <c r="AE232" s="75">
        <v>-1.468</v>
      </c>
      <c r="AF232" s="105">
        <v>-0.67400000000000004</v>
      </c>
    </row>
    <row r="233" spans="2:32" x14ac:dyDescent="0.3">
      <c r="B233" s="111">
        <v>38</v>
      </c>
      <c r="C233" s="104">
        <v>3.35</v>
      </c>
      <c r="D233" s="75">
        <v>3.44</v>
      </c>
      <c r="E233" s="75">
        <v>3.5</v>
      </c>
      <c r="F233" s="75">
        <v>-2.7229999999999999</v>
      </c>
      <c r="G233" s="75">
        <v>-3.7730000000000001</v>
      </c>
      <c r="H233" s="105">
        <v>-2.7639999999999998</v>
      </c>
      <c r="I233" s="104">
        <v>3.23</v>
      </c>
      <c r="J233" s="75">
        <v>3.3</v>
      </c>
      <c r="K233" s="75">
        <v>3.38</v>
      </c>
      <c r="L233" s="75">
        <v>-1.026</v>
      </c>
      <c r="M233" s="75">
        <v>-1.7989999999999999</v>
      </c>
      <c r="N233" s="105">
        <v>-0.53800000000000003</v>
      </c>
      <c r="O233" s="104">
        <v>19.43</v>
      </c>
      <c r="P233" s="75">
        <v>19.34</v>
      </c>
      <c r="Q233" s="75">
        <v>19.41</v>
      </c>
      <c r="R233" s="75">
        <v>-6.3719999999999999</v>
      </c>
      <c r="S233" s="75">
        <v>-7.0439999999999996</v>
      </c>
      <c r="T233" s="105">
        <v>-6.4269999999999996</v>
      </c>
      <c r="U233" s="104">
        <v>19.36</v>
      </c>
      <c r="V233" s="75">
        <v>19.25</v>
      </c>
      <c r="W233" s="75">
        <v>19.239999999999998</v>
      </c>
      <c r="X233" s="75">
        <v>-1.1439999999999999</v>
      </c>
      <c r="Y233" s="75">
        <v>-2.29</v>
      </c>
      <c r="Z233" s="105">
        <v>-2.044</v>
      </c>
      <c r="AA233" s="104">
        <v>3.08</v>
      </c>
      <c r="AB233" s="75">
        <v>3.16</v>
      </c>
      <c r="AC233" s="75">
        <v>3.22</v>
      </c>
      <c r="AD233" s="75">
        <v>-1.3220000000000001</v>
      </c>
      <c r="AE233" s="75">
        <v>-1.69</v>
      </c>
      <c r="AF233" s="105">
        <v>-0.52900000000000003</v>
      </c>
    </row>
    <row r="234" spans="2:32" x14ac:dyDescent="0.3">
      <c r="B234" s="111">
        <v>38.166666666666664</v>
      </c>
      <c r="C234" s="104">
        <v>3.16</v>
      </c>
      <c r="D234" s="75">
        <v>3.25</v>
      </c>
      <c r="E234" s="75">
        <v>3.39</v>
      </c>
      <c r="F234" s="75">
        <v>-2.8650000000000002</v>
      </c>
      <c r="G234" s="75">
        <v>-3.714</v>
      </c>
      <c r="H234" s="105">
        <v>-2.4969999999999999</v>
      </c>
      <c r="I234" s="104">
        <v>3.05</v>
      </c>
      <c r="J234" s="75">
        <v>3.15</v>
      </c>
      <c r="K234" s="75">
        <v>3.26</v>
      </c>
      <c r="L234" s="75">
        <v>-0.98699999999999999</v>
      </c>
      <c r="M234" s="75">
        <v>-1.6950000000000001</v>
      </c>
      <c r="N234" s="105">
        <v>-0.44800000000000001</v>
      </c>
      <c r="O234" s="104">
        <v>19.34</v>
      </c>
      <c r="P234" s="75">
        <v>19.239999999999998</v>
      </c>
      <c r="Q234" s="75">
        <v>19.309999999999999</v>
      </c>
      <c r="R234" s="75">
        <v>-6.5540000000000003</v>
      </c>
      <c r="S234" s="75">
        <v>-6.8460000000000001</v>
      </c>
      <c r="T234" s="105">
        <v>-6.8339999999999996</v>
      </c>
      <c r="U234" s="104">
        <v>19.29</v>
      </c>
      <c r="V234" s="75">
        <v>19.170000000000002</v>
      </c>
      <c r="W234" s="75">
        <v>19.16</v>
      </c>
      <c r="X234" s="75">
        <v>-1.4570000000000001</v>
      </c>
      <c r="Y234" s="75">
        <v>-2.2450000000000001</v>
      </c>
      <c r="Z234" s="105">
        <v>-2.742</v>
      </c>
      <c r="AA234" s="104">
        <v>2.89</v>
      </c>
      <c r="AB234" s="75">
        <v>2.98</v>
      </c>
      <c r="AC234" s="75">
        <v>3.1</v>
      </c>
      <c r="AD234" s="75">
        <v>-0.88100000000000001</v>
      </c>
      <c r="AE234" s="75">
        <v>-1.617</v>
      </c>
      <c r="AF234" s="105">
        <v>-0.39500000000000002</v>
      </c>
    </row>
    <row r="235" spans="2:32" x14ac:dyDescent="0.3">
      <c r="B235" s="111">
        <v>38.333333333333329</v>
      </c>
      <c r="C235" s="104">
        <v>2.99</v>
      </c>
      <c r="D235" s="75">
        <v>3.05</v>
      </c>
      <c r="E235" s="75">
        <v>3.32</v>
      </c>
      <c r="F235" s="75">
        <v>-2.798</v>
      </c>
      <c r="G235" s="75">
        <v>-4.7060000000000004</v>
      </c>
      <c r="H235" s="105">
        <v>-2.5659999999999998</v>
      </c>
      <c r="I235" s="104">
        <v>2.88</v>
      </c>
      <c r="J235" s="75">
        <v>2.96</v>
      </c>
      <c r="K235" s="75">
        <v>3.17</v>
      </c>
      <c r="L235" s="75">
        <v>-0.876</v>
      </c>
      <c r="M235" s="75">
        <v>-1.65</v>
      </c>
      <c r="N235" s="105">
        <v>-0.52200000000000002</v>
      </c>
      <c r="O235" s="104">
        <v>19.25</v>
      </c>
      <c r="P235" s="75">
        <v>19.16</v>
      </c>
      <c r="Q235" s="75">
        <v>19.2</v>
      </c>
      <c r="R235" s="75">
        <v>-6.4340000000000002</v>
      </c>
      <c r="S235" s="75">
        <v>-6.5149999999999997</v>
      </c>
      <c r="T235" s="105">
        <v>-6.7539999999999996</v>
      </c>
      <c r="U235" s="104">
        <v>19.21</v>
      </c>
      <c r="V235" s="75">
        <v>19.09</v>
      </c>
      <c r="W235" s="75">
        <v>19.07</v>
      </c>
      <c r="X235" s="75">
        <v>-1.5620000000000001</v>
      </c>
      <c r="Y235" s="75">
        <v>-1.99</v>
      </c>
      <c r="Z235" s="105">
        <v>-2.81</v>
      </c>
      <c r="AA235" s="104">
        <v>2.72</v>
      </c>
      <c r="AB235" s="75">
        <v>2.78</v>
      </c>
      <c r="AC235" s="75">
        <v>3.03</v>
      </c>
      <c r="AD235" s="75">
        <v>-0.75900000000000001</v>
      </c>
      <c r="AE235" s="75">
        <v>-1.9690000000000001</v>
      </c>
      <c r="AF235" s="105">
        <v>-0.23899999999999999</v>
      </c>
    </row>
    <row r="236" spans="2:32" x14ac:dyDescent="0.3">
      <c r="B236" s="111">
        <v>38.499999999999993</v>
      </c>
      <c r="C236" s="104">
        <v>2.83</v>
      </c>
      <c r="D236" s="75">
        <v>2.88</v>
      </c>
      <c r="E236" s="75">
        <v>3.24</v>
      </c>
      <c r="F236" s="75">
        <v>-2.2799999999999998</v>
      </c>
      <c r="G236" s="75">
        <v>-3.5960000000000001</v>
      </c>
      <c r="H236" s="105">
        <v>-2.4670000000000001</v>
      </c>
      <c r="I236" s="104">
        <v>2.72</v>
      </c>
      <c r="J236" s="75">
        <v>2.78</v>
      </c>
      <c r="K236" s="75">
        <v>3.09</v>
      </c>
      <c r="L236" s="75">
        <v>-0.80100000000000005</v>
      </c>
      <c r="M236" s="75">
        <v>-1.7549999999999999</v>
      </c>
      <c r="N236" s="105">
        <v>-0.26900000000000002</v>
      </c>
      <c r="O236" s="104">
        <v>19.16</v>
      </c>
      <c r="P236" s="75">
        <v>19.079999999999998</v>
      </c>
      <c r="Q236" s="75">
        <v>19.12</v>
      </c>
      <c r="R236" s="75">
        <v>-6.4240000000000004</v>
      </c>
      <c r="S236" s="75">
        <v>-6.1369999999999996</v>
      </c>
      <c r="T236" s="105">
        <v>-6.4359999999999999</v>
      </c>
      <c r="U236" s="104">
        <v>19.14</v>
      </c>
      <c r="V236" s="75">
        <v>19.03</v>
      </c>
      <c r="W236" s="75">
        <v>18.989999999999998</v>
      </c>
      <c r="X236" s="75">
        <v>-1.6919999999999999</v>
      </c>
      <c r="Y236" s="75">
        <v>-1.728</v>
      </c>
      <c r="Z236" s="105">
        <v>-2.5750000000000002</v>
      </c>
      <c r="AA236" s="104">
        <v>2.57</v>
      </c>
      <c r="AB236" s="75">
        <v>2.61</v>
      </c>
      <c r="AC236" s="75">
        <v>2.95</v>
      </c>
      <c r="AD236" s="75">
        <v>-0.312</v>
      </c>
      <c r="AE236" s="75">
        <v>-1.4690000000000001</v>
      </c>
      <c r="AF236" s="105">
        <v>-9.4E-2</v>
      </c>
    </row>
    <row r="237" spans="2:32" x14ac:dyDescent="0.3">
      <c r="B237" s="111">
        <v>38.666666666666657</v>
      </c>
      <c r="C237" s="104">
        <v>2.69</v>
      </c>
      <c r="D237" s="75">
        <v>2.71</v>
      </c>
      <c r="E237" s="75">
        <v>3.19</v>
      </c>
      <c r="F237" s="75">
        <v>-2.665</v>
      </c>
      <c r="G237" s="75">
        <v>-3.536</v>
      </c>
      <c r="H237" s="105">
        <v>-2.44</v>
      </c>
      <c r="I237" s="104">
        <v>2.57</v>
      </c>
      <c r="J237" s="75">
        <v>2.6</v>
      </c>
      <c r="K237" s="75">
        <v>3.04</v>
      </c>
      <c r="L237" s="75">
        <v>-1.1859999999999999</v>
      </c>
      <c r="M237" s="75">
        <v>-1.56</v>
      </c>
      <c r="N237" s="105">
        <v>-0.18</v>
      </c>
      <c r="O237" s="104">
        <v>19.07</v>
      </c>
      <c r="P237" s="75">
        <v>18.989999999999998</v>
      </c>
      <c r="Q237" s="75">
        <v>19.04</v>
      </c>
      <c r="R237" s="75">
        <v>-6.2409999999999997</v>
      </c>
      <c r="S237" s="75">
        <v>-6.194</v>
      </c>
      <c r="T237" s="105">
        <v>-5.9989999999999997</v>
      </c>
      <c r="U237" s="104">
        <v>19.059999999999999</v>
      </c>
      <c r="V237" s="75">
        <v>18.95</v>
      </c>
      <c r="W237" s="75">
        <v>18.93</v>
      </c>
      <c r="X237" s="75">
        <v>-1.581</v>
      </c>
      <c r="Y237" s="75">
        <v>-1.8740000000000001</v>
      </c>
      <c r="Z237" s="105">
        <v>-2.1549999999999998</v>
      </c>
      <c r="AA237" s="104">
        <v>2.42</v>
      </c>
      <c r="AB237" s="75">
        <v>2.44</v>
      </c>
      <c r="AC237" s="75">
        <v>2.89</v>
      </c>
      <c r="AD237" s="75">
        <v>-0.51700000000000002</v>
      </c>
      <c r="AE237" s="75">
        <v>-1.395</v>
      </c>
      <c r="AF237" s="105">
        <v>0.30399999999999999</v>
      </c>
    </row>
    <row r="238" spans="2:32" x14ac:dyDescent="0.3">
      <c r="B238" s="111">
        <v>38.833333333333321</v>
      </c>
      <c r="C238" s="104">
        <v>2.57</v>
      </c>
      <c r="D238" s="75">
        <v>2.59</v>
      </c>
      <c r="E238" s="75">
        <v>3.16</v>
      </c>
      <c r="F238" s="75">
        <v>-2.5990000000000002</v>
      </c>
      <c r="G238" s="75">
        <v>-3.113</v>
      </c>
      <c r="H238" s="105">
        <v>-2.2679999999999998</v>
      </c>
      <c r="I238" s="104">
        <v>2.4500000000000002</v>
      </c>
      <c r="J238" s="75">
        <v>2.4700000000000002</v>
      </c>
      <c r="K238" s="75">
        <v>3</v>
      </c>
      <c r="L238" s="75">
        <v>-0.65</v>
      </c>
      <c r="M238" s="75">
        <v>-1.514</v>
      </c>
      <c r="N238" s="105">
        <v>-0.14199999999999999</v>
      </c>
      <c r="O238" s="104">
        <v>18.989999999999998</v>
      </c>
      <c r="P238" s="75">
        <v>18.920000000000002</v>
      </c>
      <c r="Q238" s="75">
        <v>18.96</v>
      </c>
      <c r="R238" s="75">
        <v>-6.1319999999999997</v>
      </c>
      <c r="S238" s="75">
        <v>-5.9580000000000002</v>
      </c>
      <c r="T238" s="105">
        <v>-6.1079999999999997</v>
      </c>
      <c r="U238" s="104">
        <v>18.98</v>
      </c>
      <c r="V238" s="75">
        <v>18.88</v>
      </c>
      <c r="W238" s="75">
        <v>18.850000000000001</v>
      </c>
      <c r="X238" s="75">
        <v>-1.607</v>
      </c>
      <c r="Y238" s="75">
        <v>-1.7989999999999999</v>
      </c>
      <c r="Z238" s="105">
        <v>-2.4319999999999999</v>
      </c>
      <c r="AA238" s="104">
        <v>2.2999999999999998</v>
      </c>
      <c r="AB238" s="75">
        <v>2.3199999999999998</v>
      </c>
      <c r="AC238" s="75">
        <v>2.86</v>
      </c>
      <c r="AD238" s="75">
        <v>-0.39600000000000002</v>
      </c>
      <c r="AE238" s="75">
        <v>-1.284</v>
      </c>
      <c r="AF238" s="105">
        <v>0.19500000000000001</v>
      </c>
    </row>
    <row r="239" spans="2:32" x14ac:dyDescent="0.3">
      <c r="B239" s="111">
        <v>38.999999999999986</v>
      </c>
      <c r="C239" s="104">
        <v>2.4700000000000002</v>
      </c>
      <c r="D239" s="75">
        <v>2.46</v>
      </c>
      <c r="E239" s="75">
        <v>3.14</v>
      </c>
      <c r="F239" s="75">
        <v>-2.4169999999999998</v>
      </c>
      <c r="G239" s="75">
        <v>-3.4180000000000001</v>
      </c>
      <c r="H239" s="105">
        <v>-2.169</v>
      </c>
      <c r="I239" s="104">
        <v>2.34</v>
      </c>
      <c r="J239" s="75">
        <v>2.34</v>
      </c>
      <c r="K239" s="75">
        <v>2.98</v>
      </c>
      <c r="L239" s="75">
        <v>-0.57499999999999996</v>
      </c>
      <c r="M239" s="75">
        <v>-1.27</v>
      </c>
      <c r="N239" s="105">
        <v>0</v>
      </c>
      <c r="O239" s="104">
        <v>18.91</v>
      </c>
      <c r="P239" s="75">
        <v>18.84</v>
      </c>
      <c r="Q239" s="75">
        <v>18.87</v>
      </c>
      <c r="R239" s="75">
        <v>-5.8339999999999996</v>
      </c>
      <c r="S239" s="75">
        <v>-5.7069999999999999</v>
      </c>
      <c r="T239" s="105">
        <v>-5.8259999999999996</v>
      </c>
      <c r="U239" s="104">
        <v>18.91</v>
      </c>
      <c r="V239" s="75">
        <v>18.809999999999999</v>
      </c>
      <c r="W239" s="75">
        <v>18.78</v>
      </c>
      <c r="X239" s="75">
        <v>-1.3819999999999999</v>
      </c>
      <c r="Y239" s="75">
        <v>-1.6180000000000001</v>
      </c>
      <c r="Z239" s="105">
        <v>-2.3010000000000002</v>
      </c>
      <c r="AA239" s="104">
        <v>2.19</v>
      </c>
      <c r="AB239" s="75">
        <v>2.19</v>
      </c>
      <c r="AC239" s="75">
        <v>2.83</v>
      </c>
      <c r="AD239" s="75">
        <v>-0.40899999999999997</v>
      </c>
      <c r="AE239" s="75">
        <v>-1.2470000000000001</v>
      </c>
      <c r="AF239" s="105">
        <v>0.34</v>
      </c>
    </row>
    <row r="240" spans="2:32" x14ac:dyDescent="0.3">
      <c r="B240" s="111">
        <v>39.16666666666665</v>
      </c>
      <c r="C240" s="104">
        <v>2.34</v>
      </c>
      <c r="D240" s="75">
        <v>2.35</v>
      </c>
      <c r="E240" s="75">
        <v>3.12</v>
      </c>
      <c r="F240" s="75">
        <v>-2.4660000000000002</v>
      </c>
      <c r="G240" s="75">
        <v>-3.359</v>
      </c>
      <c r="H240" s="105">
        <v>-1.9339999999999999</v>
      </c>
      <c r="I240" s="104">
        <v>2.2200000000000002</v>
      </c>
      <c r="J240" s="75">
        <v>2.2200000000000002</v>
      </c>
      <c r="K240" s="75">
        <v>2.96</v>
      </c>
      <c r="L240" s="75">
        <v>-0.48199999999999998</v>
      </c>
      <c r="M240" s="75">
        <v>-1.4239999999999999</v>
      </c>
      <c r="N240" s="105">
        <v>8.8999999999999996E-2</v>
      </c>
      <c r="O240" s="104">
        <v>18.84</v>
      </c>
      <c r="P240" s="75">
        <v>18.760000000000002</v>
      </c>
      <c r="Q240" s="75">
        <v>18.79</v>
      </c>
      <c r="R240" s="75">
        <v>-5.4610000000000003</v>
      </c>
      <c r="S240" s="75">
        <v>-5.5309999999999997</v>
      </c>
      <c r="T240" s="105">
        <v>-5.6159999999999997</v>
      </c>
      <c r="U240" s="104">
        <v>18.850000000000001</v>
      </c>
      <c r="V240" s="75">
        <v>18.739999999999998</v>
      </c>
      <c r="W240" s="75">
        <v>18.7</v>
      </c>
      <c r="X240" s="75">
        <v>-1.0840000000000001</v>
      </c>
      <c r="Y240" s="75">
        <v>-1.5740000000000001</v>
      </c>
      <c r="Z240" s="105">
        <v>-2.2189999999999999</v>
      </c>
      <c r="AA240" s="104">
        <v>2.06</v>
      </c>
      <c r="AB240" s="75">
        <v>2.06</v>
      </c>
      <c r="AC240" s="75">
        <v>2.81</v>
      </c>
      <c r="AD240" s="75">
        <v>-0.153</v>
      </c>
      <c r="AE240" s="75">
        <v>-1.1739999999999999</v>
      </c>
      <c r="AF240" s="105">
        <v>0.71399999999999997</v>
      </c>
    </row>
    <row r="241" spans="2:32" x14ac:dyDescent="0.3">
      <c r="B241" s="111">
        <v>39.333333333333314</v>
      </c>
      <c r="C241" s="104">
        <v>2.2799999999999998</v>
      </c>
      <c r="D241" s="75">
        <v>2.25</v>
      </c>
      <c r="E241" s="75">
        <v>3.11</v>
      </c>
      <c r="F241" s="75">
        <v>-2.399</v>
      </c>
      <c r="G241" s="75">
        <v>-3.1669999999999998</v>
      </c>
      <c r="H241" s="105">
        <v>-1.7470000000000001</v>
      </c>
      <c r="I241" s="104">
        <v>2.15</v>
      </c>
      <c r="J241" s="75">
        <v>2.11</v>
      </c>
      <c r="K241" s="75">
        <v>2.95</v>
      </c>
      <c r="L241" s="75">
        <v>-0.42499999999999999</v>
      </c>
      <c r="M241" s="75">
        <v>-1.379</v>
      </c>
      <c r="N241" s="105">
        <v>0.41099999999999998</v>
      </c>
      <c r="O241" s="104">
        <v>18.75</v>
      </c>
      <c r="P241" s="75">
        <v>18.670000000000002</v>
      </c>
      <c r="Q241" s="75">
        <v>18.71</v>
      </c>
      <c r="R241" s="75">
        <v>-5.556</v>
      </c>
      <c r="S241" s="75">
        <v>-5.516</v>
      </c>
      <c r="T241" s="105">
        <v>-5.6159999999999997</v>
      </c>
      <c r="U241" s="104">
        <v>18.77</v>
      </c>
      <c r="V241" s="75">
        <v>18.66</v>
      </c>
      <c r="W241" s="75">
        <v>18.63</v>
      </c>
      <c r="X241" s="75">
        <v>-1.292</v>
      </c>
      <c r="Y241" s="75">
        <v>-1.7250000000000001</v>
      </c>
      <c r="Z241" s="105">
        <v>-2.3149999999999999</v>
      </c>
      <c r="AA241" s="104">
        <v>1.99</v>
      </c>
      <c r="AB241" s="75">
        <v>1.96</v>
      </c>
      <c r="AC241" s="75">
        <v>2.79</v>
      </c>
      <c r="AD241" s="75">
        <v>-3.2000000000000001E-2</v>
      </c>
      <c r="AE241" s="75">
        <v>-0.53300000000000003</v>
      </c>
      <c r="AF241" s="105">
        <v>0.97699999999999998</v>
      </c>
    </row>
    <row r="242" spans="2:32" x14ac:dyDescent="0.3">
      <c r="B242" s="111">
        <v>39.499999999999979</v>
      </c>
      <c r="C242" s="104">
        <v>2.2400000000000002</v>
      </c>
      <c r="D242" s="75">
        <v>2.19</v>
      </c>
      <c r="E242" s="75">
        <v>3.1</v>
      </c>
      <c r="F242" s="75">
        <v>-2.056</v>
      </c>
      <c r="G242" s="75">
        <v>-3.24</v>
      </c>
      <c r="H242" s="105">
        <v>-1.9650000000000001</v>
      </c>
      <c r="I242" s="104">
        <v>2.1</v>
      </c>
      <c r="J242" s="75">
        <v>2.04</v>
      </c>
      <c r="K242" s="75">
        <v>2.94</v>
      </c>
      <c r="L242" s="75">
        <v>-0.35</v>
      </c>
      <c r="M242" s="75">
        <v>-1.194</v>
      </c>
      <c r="N242" s="105">
        <v>0.38200000000000001</v>
      </c>
      <c r="O242" s="104">
        <v>18.670000000000002</v>
      </c>
      <c r="P242" s="75">
        <v>18.600000000000001</v>
      </c>
      <c r="Q242" s="75">
        <v>18.63</v>
      </c>
      <c r="R242" s="75">
        <v>-5.556</v>
      </c>
      <c r="S242" s="75">
        <v>-5.5039999999999996</v>
      </c>
      <c r="T242" s="105">
        <v>-5.452</v>
      </c>
      <c r="U242" s="104">
        <v>18.690000000000001</v>
      </c>
      <c r="V242" s="75">
        <v>18.600000000000001</v>
      </c>
      <c r="W242" s="75">
        <v>18.559999999999999</v>
      </c>
      <c r="X242" s="75">
        <v>-1.4450000000000001</v>
      </c>
      <c r="Y242" s="75">
        <v>-1.8129999999999999</v>
      </c>
      <c r="Z242" s="105">
        <v>-2.2349999999999999</v>
      </c>
      <c r="AA242" s="104">
        <v>1.94</v>
      </c>
      <c r="AB242" s="75">
        <v>1.89</v>
      </c>
      <c r="AC242" s="75">
        <v>2.78</v>
      </c>
      <c r="AD242" s="75">
        <v>0.17100000000000001</v>
      </c>
      <c r="AE242" s="75">
        <v>-1.026</v>
      </c>
      <c r="AF242" s="105">
        <v>0.95599999999999996</v>
      </c>
    </row>
    <row r="243" spans="2:32" x14ac:dyDescent="0.3">
      <c r="B243" s="111">
        <v>39.666666666666643</v>
      </c>
      <c r="C243" s="104">
        <v>2.17</v>
      </c>
      <c r="D243" s="75">
        <v>2.15</v>
      </c>
      <c r="E243" s="75">
        <v>3.06</v>
      </c>
      <c r="F243" s="75">
        <v>-2.266</v>
      </c>
      <c r="G243" s="75">
        <v>-2.633</v>
      </c>
      <c r="H243" s="105">
        <v>-2.3759999999999999</v>
      </c>
      <c r="I243" s="104">
        <v>2.0299999999999998</v>
      </c>
      <c r="J243" s="75">
        <v>2</v>
      </c>
      <c r="K243" s="75">
        <v>2.91</v>
      </c>
      <c r="L243" s="75">
        <v>-0.79200000000000004</v>
      </c>
      <c r="M243" s="75">
        <v>-1.2889999999999999</v>
      </c>
      <c r="N243" s="105">
        <v>0.23</v>
      </c>
      <c r="O243" s="104">
        <v>18.600000000000001</v>
      </c>
      <c r="P243" s="75">
        <v>18.52</v>
      </c>
      <c r="Q243" s="75">
        <v>18.55</v>
      </c>
      <c r="R243" s="75">
        <v>-5.2229999999999999</v>
      </c>
      <c r="S243" s="75">
        <v>-5.2930000000000001</v>
      </c>
      <c r="T243" s="105">
        <v>-5.3259999999999996</v>
      </c>
      <c r="U243" s="104">
        <v>18.63</v>
      </c>
      <c r="V243" s="75">
        <v>18.53</v>
      </c>
      <c r="W243" s="75">
        <v>18.48</v>
      </c>
      <c r="X243" s="75">
        <v>-1.1679999999999999</v>
      </c>
      <c r="Y243" s="75">
        <v>-1.7090000000000001</v>
      </c>
      <c r="Z243" s="105">
        <v>-2.2410000000000001</v>
      </c>
      <c r="AA243" s="104">
        <v>1.87</v>
      </c>
      <c r="AB243" s="75">
        <v>1.85</v>
      </c>
      <c r="AC243" s="75">
        <v>2.74</v>
      </c>
      <c r="AD243" s="75">
        <v>0.21099999999999999</v>
      </c>
      <c r="AE243" s="75">
        <v>-0.23400000000000001</v>
      </c>
      <c r="AF243" s="105">
        <v>0.49099999999999999</v>
      </c>
    </row>
    <row r="244" spans="2:32" x14ac:dyDescent="0.3">
      <c r="B244" s="111">
        <v>39.833333333333307</v>
      </c>
      <c r="C244" s="104">
        <v>2.13</v>
      </c>
      <c r="D244" s="75">
        <v>2.13</v>
      </c>
      <c r="E244" s="75">
        <v>3.05</v>
      </c>
      <c r="F244" s="75">
        <v>-2.2000000000000002</v>
      </c>
      <c r="G244" s="75">
        <v>-2.1259999999999999</v>
      </c>
      <c r="H244" s="105">
        <v>-2.0880000000000001</v>
      </c>
      <c r="I244" s="104">
        <v>1.99</v>
      </c>
      <c r="J244" s="75">
        <v>1.97</v>
      </c>
      <c r="K244" s="75">
        <v>2.89</v>
      </c>
      <c r="L244" s="75">
        <v>-0.19900000000000001</v>
      </c>
      <c r="M244" s="75">
        <v>-0.44600000000000001</v>
      </c>
      <c r="N244" s="105">
        <v>-0.32</v>
      </c>
      <c r="O244" s="104">
        <v>18.52</v>
      </c>
      <c r="P244" s="75">
        <v>18.440000000000001</v>
      </c>
      <c r="Q244" s="75">
        <v>18.48</v>
      </c>
      <c r="R244" s="75">
        <v>-5.1859999999999999</v>
      </c>
      <c r="S244" s="75">
        <v>-5.0010000000000003</v>
      </c>
      <c r="T244" s="105">
        <v>-4.9359999999999999</v>
      </c>
      <c r="U244" s="104">
        <v>18.559999999999999</v>
      </c>
      <c r="V244" s="75">
        <v>18.45</v>
      </c>
      <c r="W244" s="75">
        <v>18.420000000000002</v>
      </c>
      <c r="X244" s="75">
        <v>-1.2529999999999999</v>
      </c>
      <c r="Y244" s="75">
        <v>-1.444</v>
      </c>
      <c r="Z244" s="105">
        <v>-1.9350000000000001</v>
      </c>
      <c r="AA244" s="104">
        <v>1.83</v>
      </c>
      <c r="AB244" s="75">
        <v>1.82</v>
      </c>
      <c r="AC244" s="75">
        <v>2.72</v>
      </c>
      <c r="AD244" s="75">
        <v>0.33200000000000002</v>
      </c>
      <c r="AE244" s="75">
        <v>0.33900000000000002</v>
      </c>
      <c r="AF244" s="105">
        <v>0.88500000000000001</v>
      </c>
    </row>
    <row r="245" spans="2:32" x14ac:dyDescent="0.3">
      <c r="B245" s="111">
        <v>39.999999999999972</v>
      </c>
      <c r="C245" s="104">
        <v>2.11</v>
      </c>
      <c r="D245" s="75">
        <v>2.11</v>
      </c>
      <c r="E245" s="75">
        <v>3.04</v>
      </c>
      <c r="F245" s="75">
        <v>-2.8380000000000001</v>
      </c>
      <c r="G245" s="75">
        <v>-1.849</v>
      </c>
      <c r="H245" s="105">
        <v>-1.778</v>
      </c>
      <c r="I245" s="104">
        <v>1.97</v>
      </c>
      <c r="J245" s="75">
        <v>1.96</v>
      </c>
      <c r="K245" s="75">
        <v>2.88</v>
      </c>
      <c r="L245" s="75">
        <v>-0.124</v>
      </c>
      <c r="M245" s="75">
        <v>4.3999999999999997E-2</v>
      </c>
      <c r="N245" s="105">
        <v>0.16800000000000001</v>
      </c>
      <c r="O245" s="104">
        <v>18.43</v>
      </c>
      <c r="P245" s="75">
        <v>18.36</v>
      </c>
      <c r="Q245" s="75">
        <v>18.41</v>
      </c>
      <c r="R245" s="75">
        <v>-5.2169999999999996</v>
      </c>
      <c r="S245" s="75">
        <v>-5.109</v>
      </c>
      <c r="T245" s="105">
        <v>-4.8550000000000004</v>
      </c>
      <c r="U245" s="104">
        <v>18.48</v>
      </c>
      <c r="V245" s="75">
        <v>18.38</v>
      </c>
      <c r="W245" s="75">
        <v>18.350000000000001</v>
      </c>
      <c r="X245" s="75">
        <v>-1.2969999999999999</v>
      </c>
      <c r="Y245" s="75">
        <v>-1.67</v>
      </c>
      <c r="Z245" s="105">
        <v>-1.913</v>
      </c>
      <c r="AA245" s="104">
        <v>1.8</v>
      </c>
      <c r="AB245" s="75">
        <v>1.8</v>
      </c>
      <c r="AC245" s="75">
        <v>2.71</v>
      </c>
      <c r="AD245" s="75">
        <v>0.64700000000000002</v>
      </c>
      <c r="AE245" s="75">
        <v>0.82799999999999996</v>
      </c>
      <c r="AF245" s="105">
        <v>1.117</v>
      </c>
    </row>
    <row r="246" spans="2:32" x14ac:dyDescent="0.3">
      <c r="B246" s="111">
        <v>40.166666666666636</v>
      </c>
      <c r="C246" s="104">
        <v>2.1</v>
      </c>
      <c r="D246" s="75">
        <v>2.1</v>
      </c>
      <c r="E246" s="75">
        <v>3.02</v>
      </c>
      <c r="F246" s="75">
        <v>-1.885</v>
      </c>
      <c r="G246" s="75">
        <v>-1.8939999999999999</v>
      </c>
      <c r="H246" s="105">
        <v>-1.7430000000000001</v>
      </c>
      <c r="I246" s="104">
        <v>1.95</v>
      </c>
      <c r="J246" s="75">
        <v>1.94</v>
      </c>
      <c r="K246" s="75">
        <v>2.86</v>
      </c>
      <c r="L246" s="75">
        <v>0.17</v>
      </c>
      <c r="M246" s="75">
        <v>0.27400000000000002</v>
      </c>
      <c r="N246" s="105">
        <v>0.46700000000000003</v>
      </c>
      <c r="O246" s="104">
        <v>18.36</v>
      </c>
      <c r="P246" s="75">
        <v>18.29</v>
      </c>
      <c r="Q246" s="75">
        <v>18.329999999999998</v>
      </c>
      <c r="R246" s="75">
        <v>-4.984</v>
      </c>
      <c r="S246" s="75">
        <v>-5.0010000000000003</v>
      </c>
      <c r="T246" s="105">
        <v>-4.9400000000000004</v>
      </c>
      <c r="U246" s="104">
        <v>18.420000000000002</v>
      </c>
      <c r="V246" s="75">
        <v>18.32</v>
      </c>
      <c r="W246" s="75">
        <v>18.28</v>
      </c>
      <c r="X246" s="75">
        <v>-1.1930000000000001</v>
      </c>
      <c r="Y246" s="75">
        <v>-1.6279999999999999</v>
      </c>
      <c r="Z246" s="105">
        <v>-2.0790000000000002</v>
      </c>
      <c r="AA246" s="104">
        <v>1.78</v>
      </c>
      <c r="AB246" s="75">
        <v>1.78</v>
      </c>
      <c r="AC246" s="75">
        <v>2.69</v>
      </c>
      <c r="AD246" s="75">
        <v>0.72599999999999998</v>
      </c>
      <c r="AE246" s="75">
        <v>0.83899999999999997</v>
      </c>
      <c r="AF246" s="105">
        <v>1.0649999999999999</v>
      </c>
    </row>
    <row r="247" spans="2:32" x14ac:dyDescent="0.3">
      <c r="B247" s="111">
        <v>40.3333333333333</v>
      </c>
      <c r="C247" s="104">
        <v>2.0499999999999998</v>
      </c>
      <c r="D247" s="75">
        <v>2.0499999999999998</v>
      </c>
      <c r="E247" s="75">
        <v>3.01</v>
      </c>
      <c r="F247" s="75">
        <v>-2.6419999999999999</v>
      </c>
      <c r="G247" s="75">
        <v>-2.5880000000000001</v>
      </c>
      <c r="H247" s="105">
        <v>-1.792</v>
      </c>
      <c r="I247" s="104">
        <v>1.9</v>
      </c>
      <c r="J247" s="75">
        <v>1.9</v>
      </c>
      <c r="K247" s="75">
        <v>2.86</v>
      </c>
      <c r="L247" s="75">
        <v>0.20399999999999999</v>
      </c>
      <c r="M247" s="75">
        <v>0.27700000000000002</v>
      </c>
      <c r="N247" s="105">
        <v>0.35099999999999998</v>
      </c>
      <c r="O247" s="104">
        <v>18.29</v>
      </c>
      <c r="P247" s="75">
        <v>18.21</v>
      </c>
      <c r="Q247" s="75">
        <v>18.25</v>
      </c>
      <c r="R247" s="75">
        <v>-4.7690000000000001</v>
      </c>
      <c r="S247" s="75">
        <v>-5.1349999999999998</v>
      </c>
      <c r="T247" s="105">
        <v>-4.6440000000000001</v>
      </c>
      <c r="U247" s="104">
        <v>18.350000000000001</v>
      </c>
      <c r="V247" s="75">
        <v>18.239999999999998</v>
      </c>
      <c r="W247" s="75">
        <v>18.21</v>
      </c>
      <c r="X247" s="75">
        <v>-1.0129999999999999</v>
      </c>
      <c r="Y247" s="75">
        <v>-1.861</v>
      </c>
      <c r="Z247" s="105">
        <v>-1.8779999999999999</v>
      </c>
      <c r="AA247" s="104">
        <v>1.73</v>
      </c>
      <c r="AB247" s="75">
        <v>1.73</v>
      </c>
      <c r="AC247" s="75">
        <v>2.68</v>
      </c>
      <c r="AD247" s="75">
        <v>9.6000000000000002E-2</v>
      </c>
      <c r="AE247" s="75">
        <v>0.33300000000000002</v>
      </c>
      <c r="AF247" s="105">
        <v>1.135</v>
      </c>
    </row>
    <row r="248" spans="2:32" x14ac:dyDescent="0.3">
      <c r="B248" s="111">
        <v>40.499999999999964</v>
      </c>
      <c r="C248" s="104">
        <v>2.02</v>
      </c>
      <c r="D248" s="75">
        <v>2.02</v>
      </c>
      <c r="E248" s="75">
        <v>3.13</v>
      </c>
      <c r="F248" s="75">
        <v>-2.2210000000000001</v>
      </c>
      <c r="G248" s="75">
        <v>-2.1589999999999998</v>
      </c>
      <c r="H248" s="105">
        <v>-1.798</v>
      </c>
      <c r="I248" s="104">
        <v>1.87</v>
      </c>
      <c r="J248" s="75">
        <v>1.87</v>
      </c>
      <c r="K248" s="75">
        <v>2.93</v>
      </c>
      <c r="L248" s="75">
        <v>-0.57399999999999995</v>
      </c>
      <c r="M248" s="75">
        <v>-0.625</v>
      </c>
      <c r="N248" s="105">
        <v>0.443</v>
      </c>
      <c r="O248" s="104">
        <v>18.21</v>
      </c>
      <c r="P248" s="75">
        <v>18.11</v>
      </c>
      <c r="Q248" s="75">
        <v>18.18</v>
      </c>
      <c r="R248" s="75">
        <v>-4.758</v>
      </c>
      <c r="S248" s="75">
        <v>-5.24</v>
      </c>
      <c r="T248" s="105">
        <v>-4.4139999999999997</v>
      </c>
      <c r="U248" s="104">
        <v>18.28</v>
      </c>
      <c r="V248" s="75">
        <v>18.149999999999999</v>
      </c>
      <c r="W248" s="75">
        <v>18.149999999999999</v>
      </c>
      <c r="X248" s="75">
        <v>-1.1439999999999999</v>
      </c>
      <c r="Y248" s="75">
        <v>-2.0699999999999998</v>
      </c>
      <c r="Z248" s="105">
        <v>-1.758</v>
      </c>
      <c r="AA248" s="104">
        <v>1.7</v>
      </c>
      <c r="AB248" s="75">
        <v>1.7</v>
      </c>
      <c r="AC248" s="75">
        <v>2.79</v>
      </c>
      <c r="AD248" s="75">
        <v>0.61299999999999999</v>
      </c>
      <c r="AE248" s="75">
        <v>0.7</v>
      </c>
      <c r="AF248" s="105">
        <v>1.1439999999999999</v>
      </c>
    </row>
    <row r="249" spans="2:32" x14ac:dyDescent="0.3">
      <c r="B249" s="111">
        <v>40.666666666666629</v>
      </c>
      <c r="C249" s="104">
        <v>2</v>
      </c>
      <c r="D249" s="75">
        <v>2.0099999999999998</v>
      </c>
      <c r="E249" s="75">
        <v>3.16</v>
      </c>
      <c r="F249" s="75">
        <v>-1.99</v>
      </c>
      <c r="G249" s="75">
        <v>-1.9470000000000001</v>
      </c>
      <c r="H249" s="105">
        <v>-1.7809999999999999</v>
      </c>
      <c r="I249" s="104">
        <v>1.85</v>
      </c>
      <c r="J249" s="75">
        <v>1.85</v>
      </c>
      <c r="K249" s="75">
        <v>3.01</v>
      </c>
      <c r="L249" s="75">
        <v>-8.4000000000000005E-2</v>
      </c>
      <c r="M249" s="75">
        <v>-2.3E-2</v>
      </c>
      <c r="N249" s="105">
        <v>0.43099999999999999</v>
      </c>
      <c r="O249" s="104">
        <v>18.11</v>
      </c>
      <c r="P249" s="75">
        <v>18.02</v>
      </c>
      <c r="Q249" s="75">
        <v>18.09</v>
      </c>
      <c r="R249" s="75">
        <v>-5.25</v>
      </c>
      <c r="S249" s="75">
        <v>-4.9960000000000004</v>
      </c>
      <c r="T249" s="105">
        <v>-5.1790000000000003</v>
      </c>
      <c r="U249" s="104">
        <v>18.190000000000001</v>
      </c>
      <c r="V249" s="75">
        <v>18.07</v>
      </c>
      <c r="W249" s="75">
        <v>18.07</v>
      </c>
      <c r="X249" s="75">
        <v>-1.738</v>
      </c>
      <c r="Y249" s="75">
        <v>-1.8640000000000001</v>
      </c>
      <c r="Z249" s="105">
        <v>-2.6230000000000002</v>
      </c>
      <c r="AA249" s="104">
        <v>1.68</v>
      </c>
      <c r="AB249" s="75">
        <v>1.68</v>
      </c>
      <c r="AC249" s="75">
        <v>2.82</v>
      </c>
      <c r="AD249" s="75">
        <v>0.86299999999999999</v>
      </c>
      <c r="AE249" s="75">
        <v>0.99399999999999999</v>
      </c>
      <c r="AF249" s="105">
        <v>1.1839999999999999</v>
      </c>
    </row>
    <row r="250" spans="2:32" x14ac:dyDescent="0.3">
      <c r="B250" s="111">
        <v>40.833333333333293</v>
      </c>
      <c r="C250" s="104">
        <v>1.99</v>
      </c>
      <c r="D250" s="75">
        <v>2.08</v>
      </c>
      <c r="E250" s="75">
        <v>3.24</v>
      </c>
      <c r="F250" s="75">
        <v>-1.6739999999999999</v>
      </c>
      <c r="G250" s="75">
        <v>-2.5249999999999999</v>
      </c>
      <c r="H250" s="105">
        <v>-1.8120000000000001</v>
      </c>
      <c r="I250" s="104">
        <v>1.84</v>
      </c>
      <c r="J250" s="75">
        <v>1.96</v>
      </c>
      <c r="K250" s="75">
        <v>3.09</v>
      </c>
      <c r="L250" s="75">
        <v>0.17299999999999999</v>
      </c>
      <c r="M250" s="75">
        <v>0.13400000000000001</v>
      </c>
      <c r="N250" s="105">
        <v>0.503</v>
      </c>
      <c r="O250" s="104">
        <v>18.02</v>
      </c>
      <c r="P250" s="75">
        <v>17.93</v>
      </c>
      <c r="Q250" s="75">
        <v>18</v>
      </c>
      <c r="R250" s="75">
        <v>-5.0830000000000002</v>
      </c>
      <c r="S250" s="75">
        <v>-5.1059999999999999</v>
      </c>
      <c r="T250" s="105">
        <v>-4.9169999999999998</v>
      </c>
      <c r="U250" s="104">
        <v>18.11</v>
      </c>
      <c r="V250" s="75">
        <v>17.989999999999998</v>
      </c>
      <c r="W250" s="75">
        <v>17.98</v>
      </c>
      <c r="X250" s="75">
        <v>-1.56</v>
      </c>
      <c r="Y250" s="75">
        <v>-1.9850000000000001</v>
      </c>
      <c r="Z250" s="105">
        <v>-2.4249999999999998</v>
      </c>
      <c r="AA250" s="104">
        <v>1.67</v>
      </c>
      <c r="AB250" s="75">
        <v>1.82</v>
      </c>
      <c r="AC250" s="75">
        <v>2.9</v>
      </c>
      <c r="AD250" s="75">
        <v>1.0660000000000001</v>
      </c>
      <c r="AE250" s="75">
        <v>0.50700000000000001</v>
      </c>
      <c r="AF250" s="105">
        <v>1.1619999999999999</v>
      </c>
    </row>
    <row r="251" spans="2:32" x14ac:dyDescent="0.3">
      <c r="B251" s="111">
        <v>40.999999999999957</v>
      </c>
      <c r="C251" s="104">
        <v>2.14</v>
      </c>
      <c r="D251" s="75">
        <v>2.2000000000000002</v>
      </c>
      <c r="E251" s="75">
        <v>3.33</v>
      </c>
      <c r="F251" s="75">
        <v>-2.1309999999999998</v>
      </c>
      <c r="G251" s="75">
        <v>-2.2799999999999998</v>
      </c>
      <c r="H251" s="105">
        <v>-1.819</v>
      </c>
      <c r="I251" s="104">
        <v>1.88</v>
      </c>
      <c r="J251" s="75">
        <v>2.06</v>
      </c>
      <c r="K251" s="75">
        <v>3.12</v>
      </c>
      <c r="L251" s="75">
        <v>0.33300000000000002</v>
      </c>
      <c r="M251" s="75">
        <v>0.19800000000000001</v>
      </c>
      <c r="N251" s="105">
        <v>0.40600000000000003</v>
      </c>
      <c r="O251" s="104">
        <v>17.940000000000001</v>
      </c>
      <c r="P251" s="75">
        <v>17.850000000000001</v>
      </c>
      <c r="Q251" s="75">
        <v>17.920000000000002</v>
      </c>
      <c r="R251" s="75">
        <v>-4.9390000000000001</v>
      </c>
      <c r="S251" s="75">
        <v>-4.7910000000000004</v>
      </c>
      <c r="T251" s="105">
        <v>-4.6980000000000004</v>
      </c>
      <c r="U251" s="104">
        <v>18.03</v>
      </c>
      <c r="V251" s="75">
        <v>17.91</v>
      </c>
      <c r="W251" s="75">
        <v>17.91</v>
      </c>
      <c r="X251" s="75">
        <v>-1.4830000000000001</v>
      </c>
      <c r="Y251" s="75">
        <v>-1.675</v>
      </c>
      <c r="Z251" s="105">
        <v>-2.2170000000000001</v>
      </c>
      <c r="AA251" s="104">
        <v>1.76</v>
      </c>
      <c r="AB251" s="75">
        <v>1.88</v>
      </c>
      <c r="AC251" s="75">
        <v>2.97</v>
      </c>
      <c r="AD251" s="75">
        <v>0.82099999999999995</v>
      </c>
      <c r="AE251" s="75">
        <v>0.86199999999999999</v>
      </c>
      <c r="AF251" s="105">
        <v>1.171</v>
      </c>
    </row>
    <row r="252" spans="2:32" x14ac:dyDescent="0.3">
      <c r="B252" s="111">
        <v>41.166666666666622</v>
      </c>
      <c r="C252" s="104">
        <v>2.19</v>
      </c>
      <c r="D252" s="75">
        <v>2.2999999999999998</v>
      </c>
      <c r="E252" s="75">
        <v>3.31</v>
      </c>
      <c r="F252" s="75">
        <v>-1.7470000000000001</v>
      </c>
      <c r="G252" s="75">
        <v>-2.4460000000000002</v>
      </c>
      <c r="H252" s="105">
        <v>-1.7889999999999999</v>
      </c>
      <c r="I252" s="104">
        <v>2.0499999999999998</v>
      </c>
      <c r="J252" s="75">
        <v>2.16</v>
      </c>
      <c r="K252" s="75">
        <v>3.16</v>
      </c>
      <c r="L252" s="75">
        <v>0.252</v>
      </c>
      <c r="M252" s="75">
        <v>-0.19400000000000001</v>
      </c>
      <c r="N252" s="105">
        <v>0.39400000000000002</v>
      </c>
      <c r="O252" s="104">
        <v>17.86</v>
      </c>
      <c r="P252" s="75">
        <v>17.77</v>
      </c>
      <c r="Q252" s="75">
        <v>17.84</v>
      </c>
      <c r="R252" s="75">
        <v>-4.7839999999999998</v>
      </c>
      <c r="S252" s="75">
        <v>-4.6509999999999998</v>
      </c>
      <c r="T252" s="105">
        <v>-4.6710000000000003</v>
      </c>
      <c r="U252" s="104">
        <v>17.96</v>
      </c>
      <c r="V252" s="75">
        <v>17.84</v>
      </c>
      <c r="W252" s="75">
        <v>17.829999999999998</v>
      </c>
      <c r="X252" s="75">
        <v>-1.341</v>
      </c>
      <c r="Y252" s="75">
        <v>-1.5669999999999999</v>
      </c>
      <c r="Z252" s="105">
        <v>-2.2290000000000001</v>
      </c>
      <c r="AA252" s="104">
        <v>1.87</v>
      </c>
      <c r="AB252" s="75">
        <v>1.97</v>
      </c>
      <c r="AC252" s="75">
        <v>2.96</v>
      </c>
      <c r="AD252" s="75">
        <v>1.044</v>
      </c>
      <c r="AE252" s="75">
        <v>0.79600000000000004</v>
      </c>
      <c r="AF252" s="105">
        <v>1.274</v>
      </c>
    </row>
    <row r="253" spans="2:32" x14ac:dyDescent="0.3">
      <c r="B253" s="111">
        <v>41.333333333333286</v>
      </c>
      <c r="C253" s="104">
        <v>2.29</v>
      </c>
      <c r="D253" s="75">
        <v>2.42</v>
      </c>
      <c r="E253" s="75">
        <v>3.29</v>
      </c>
      <c r="F253" s="75">
        <v>-1.7829999999999999</v>
      </c>
      <c r="G253" s="75">
        <v>-2.5550000000000002</v>
      </c>
      <c r="H253" s="105">
        <v>-1.8320000000000001</v>
      </c>
      <c r="I253" s="104">
        <v>2.15</v>
      </c>
      <c r="J253" s="75">
        <v>2.23</v>
      </c>
      <c r="K253" s="75">
        <v>3.14</v>
      </c>
      <c r="L253" s="75">
        <v>0.25800000000000001</v>
      </c>
      <c r="M253" s="75">
        <v>-0.35699999999999998</v>
      </c>
      <c r="N253" s="105">
        <v>0.56100000000000005</v>
      </c>
      <c r="O253" s="104">
        <v>17.79</v>
      </c>
      <c r="P253" s="75">
        <v>17.7</v>
      </c>
      <c r="Q253" s="75">
        <v>17.75</v>
      </c>
      <c r="R253" s="75">
        <v>-4.5069999999999997</v>
      </c>
      <c r="S253" s="75">
        <v>-4.4669999999999996</v>
      </c>
      <c r="T253" s="105">
        <v>-4.3710000000000004</v>
      </c>
      <c r="U253" s="104">
        <v>17.89</v>
      </c>
      <c r="V253" s="75">
        <v>17.77</v>
      </c>
      <c r="W253" s="75">
        <v>17.75</v>
      </c>
      <c r="X253" s="75">
        <v>-1.0940000000000001</v>
      </c>
      <c r="Y253" s="75">
        <v>-1.425</v>
      </c>
      <c r="Z253" s="105">
        <v>-1.96</v>
      </c>
      <c r="AA253" s="104">
        <v>1.97</v>
      </c>
      <c r="AB253" s="75">
        <v>2.11</v>
      </c>
      <c r="AC253" s="75">
        <v>2.96</v>
      </c>
      <c r="AD253" s="75">
        <v>1.0329999999999999</v>
      </c>
      <c r="AE253" s="75">
        <v>0.88500000000000001</v>
      </c>
      <c r="AF253" s="105">
        <v>1.19</v>
      </c>
    </row>
    <row r="254" spans="2:32" x14ac:dyDescent="0.3">
      <c r="B254" s="111">
        <v>41.49999999999995</v>
      </c>
      <c r="C254" s="104">
        <v>2.44</v>
      </c>
      <c r="D254" s="75">
        <v>2.5</v>
      </c>
      <c r="E254" s="75">
        <v>3.31</v>
      </c>
      <c r="F254" s="75">
        <v>-2.6419999999999999</v>
      </c>
      <c r="G254" s="75">
        <v>-2.7789999999999999</v>
      </c>
      <c r="H254" s="105">
        <v>-1.839</v>
      </c>
      <c r="I254" s="104">
        <v>2.29</v>
      </c>
      <c r="J254" s="75">
        <v>2.36</v>
      </c>
      <c r="K254" s="75">
        <v>3.16</v>
      </c>
      <c r="L254" s="75">
        <v>0.22</v>
      </c>
      <c r="M254" s="75">
        <v>-1.016</v>
      </c>
      <c r="N254" s="105">
        <v>0.37</v>
      </c>
      <c r="O254" s="104">
        <v>17.7</v>
      </c>
      <c r="P254" s="75">
        <v>17.62</v>
      </c>
      <c r="Q254" s="75">
        <v>17.68</v>
      </c>
      <c r="R254" s="75">
        <v>-4.4669999999999996</v>
      </c>
      <c r="S254" s="75">
        <v>-4.4329999999999998</v>
      </c>
      <c r="T254" s="105">
        <v>-4.4489999999999998</v>
      </c>
      <c r="U254" s="104">
        <v>17.809999999999999</v>
      </c>
      <c r="V254" s="75">
        <v>17.7</v>
      </c>
      <c r="W254" s="75">
        <v>17.690000000000001</v>
      </c>
      <c r="X254" s="75">
        <v>-1.056</v>
      </c>
      <c r="Y254" s="75">
        <v>-1.4039999999999999</v>
      </c>
      <c r="Z254" s="105">
        <v>-2.0910000000000002</v>
      </c>
      <c r="AA254" s="104">
        <v>2.16</v>
      </c>
      <c r="AB254" s="75">
        <v>2.16</v>
      </c>
      <c r="AC254" s="75">
        <v>2.97</v>
      </c>
      <c r="AD254" s="75">
        <v>0.187</v>
      </c>
      <c r="AE254" s="75">
        <v>0.66400000000000003</v>
      </c>
      <c r="AF254" s="105">
        <v>1.1990000000000001</v>
      </c>
    </row>
    <row r="255" spans="2:32" x14ac:dyDescent="0.3">
      <c r="B255" s="111">
        <v>41.666666666666615</v>
      </c>
      <c r="C255" s="104">
        <v>2.4900000000000002</v>
      </c>
      <c r="D255" s="75">
        <v>2.4700000000000002</v>
      </c>
      <c r="E255" s="75">
        <v>3.3</v>
      </c>
      <c r="F255" s="75">
        <v>-1.855</v>
      </c>
      <c r="G255" s="75">
        <v>-2.2069999999999999</v>
      </c>
      <c r="H255" s="105">
        <v>-1.992</v>
      </c>
      <c r="I255" s="104">
        <v>2.36</v>
      </c>
      <c r="J255" s="75">
        <v>2.33</v>
      </c>
      <c r="K255" s="75">
        <v>3.15</v>
      </c>
      <c r="L255" s="75">
        <v>0.13200000000000001</v>
      </c>
      <c r="M255" s="75">
        <v>-0.68500000000000005</v>
      </c>
      <c r="N255" s="105">
        <v>0.35799999999999998</v>
      </c>
      <c r="O255" s="104">
        <v>17.64</v>
      </c>
      <c r="P255" s="75">
        <v>17.559999999999999</v>
      </c>
      <c r="Q255" s="75">
        <v>17.600000000000001</v>
      </c>
      <c r="R255" s="75">
        <v>-4.3499999999999996</v>
      </c>
      <c r="S255" s="75">
        <v>-4.1619999999999999</v>
      </c>
      <c r="T255" s="105">
        <v>-4.4020000000000001</v>
      </c>
      <c r="U255" s="104">
        <v>17.75</v>
      </c>
      <c r="V255" s="75">
        <v>17.63</v>
      </c>
      <c r="W255" s="75">
        <v>17.61</v>
      </c>
      <c r="X255" s="75">
        <v>-0.98499999999999999</v>
      </c>
      <c r="Y255" s="75">
        <v>-1.2</v>
      </c>
      <c r="Z255" s="105">
        <v>-2.073</v>
      </c>
      <c r="AA255" s="104">
        <v>2.16</v>
      </c>
      <c r="AB255" s="75">
        <v>2.14</v>
      </c>
      <c r="AC255" s="75">
        <v>2.97</v>
      </c>
      <c r="AD255" s="75">
        <v>1.01</v>
      </c>
      <c r="AE255" s="75">
        <v>0.89500000000000002</v>
      </c>
      <c r="AF255" s="105">
        <v>1.05</v>
      </c>
    </row>
    <row r="256" spans="2:32" x14ac:dyDescent="0.3">
      <c r="B256" s="111">
        <v>41.833333333333279</v>
      </c>
      <c r="C256" s="104">
        <v>2.46</v>
      </c>
      <c r="D256" s="75">
        <v>2.46</v>
      </c>
      <c r="E256" s="75">
        <v>3.3</v>
      </c>
      <c r="F256" s="75">
        <v>-1.8919999999999999</v>
      </c>
      <c r="G256" s="75">
        <v>-1.89</v>
      </c>
      <c r="H256" s="105">
        <v>-1.853</v>
      </c>
      <c r="I256" s="104">
        <v>2.3199999999999998</v>
      </c>
      <c r="J256" s="75">
        <v>2.31</v>
      </c>
      <c r="K256" s="75">
        <v>3.14</v>
      </c>
      <c r="L256" s="75">
        <v>0.14499999999999999</v>
      </c>
      <c r="M256" s="75">
        <v>-0.36299999999999999</v>
      </c>
      <c r="N256" s="105">
        <v>4.7E-2</v>
      </c>
      <c r="O256" s="104">
        <v>17.559999999999999</v>
      </c>
      <c r="P256" s="75">
        <v>17.48</v>
      </c>
      <c r="Q256" s="75">
        <v>17.53</v>
      </c>
      <c r="R256" s="75">
        <v>-4.4340000000000002</v>
      </c>
      <c r="S256" s="75">
        <v>-4.2549999999999999</v>
      </c>
      <c r="T256" s="105">
        <v>-4.13</v>
      </c>
      <c r="U256" s="104">
        <v>17.68</v>
      </c>
      <c r="V256" s="75">
        <v>17.559999999999999</v>
      </c>
      <c r="W256" s="75">
        <v>17.54</v>
      </c>
      <c r="X256" s="75">
        <v>-1.115</v>
      </c>
      <c r="Y256" s="75">
        <v>-1.3959999999999999</v>
      </c>
      <c r="Z256" s="105">
        <v>-1.7849999999999999</v>
      </c>
      <c r="AA256" s="104">
        <v>2.14</v>
      </c>
      <c r="AB256" s="75">
        <v>2.13</v>
      </c>
      <c r="AC256" s="75">
        <v>2.96</v>
      </c>
      <c r="AD256" s="75">
        <v>0.999</v>
      </c>
      <c r="AE256" s="75">
        <v>1.244</v>
      </c>
      <c r="AF256" s="105">
        <v>1.2170000000000001</v>
      </c>
    </row>
    <row r="257" spans="2:32" x14ac:dyDescent="0.3">
      <c r="B257" s="111">
        <v>41.999999999999943</v>
      </c>
      <c r="C257" s="104">
        <v>2.4300000000000002</v>
      </c>
      <c r="D257" s="75">
        <v>2.44</v>
      </c>
      <c r="E257" s="75">
        <v>3.28</v>
      </c>
      <c r="F257" s="75">
        <v>-1.538</v>
      </c>
      <c r="G257" s="75">
        <v>-1.7030000000000001</v>
      </c>
      <c r="H257" s="105">
        <v>-1.859</v>
      </c>
      <c r="I257" s="104">
        <v>2.2999999999999998</v>
      </c>
      <c r="J257" s="75">
        <v>2.29</v>
      </c>
      <c r="K257" s="75">
        <v>3.13</v>
      </c>
      <c r="L257" s="75">
        <v>0.108</v>
      </c>
      <c r="M257" s="75">
        <v>0.104</v>
      </c>
      <c r="N257" s="105">
        <v>0.33300000000000002</v>
      </c>
      <c r="O257" s="104">
        <v>17.48</v>
      </c>
      <c r="P257" s="75">
        <v>17.41</v>
      </c>
      <c r="Q257" s="75">
        <v>17.45</v>
      </c>
      <c r="R257" s="75">
        <v>-4.3310000000000004</v>
      </c>
      <c r="S257" s="75">
        <v>-4.1900000000000004</v>
      </c>
      <c r="T257" s="105">
        <v>-4.0970000000000004</v>
      </c>
      <c r="U257" s="104">
        <v>17.600000000000001</v>
      </c>
      <c r="V257" s="75">
        <v>17.489999999999998</v>
      </c>
      <c r="W257" s="75">
        <v>17.47</v>
      </c>
      <c r="X257" s="75">
        <v>-1.0569999999999999</v>
      </c>
      <c r="Y257" s="75">
        <v>-1.3740000000000001</v>
      </c>
      <c r="Z257" s="105">
        <v>-1.831</v>
      </c>
      <c r="AA257" s="104">
        <v>2.11</v>
      </c>
      <c r="AB257" s="75">
        <v>2.11</v>
      </c>
      <c r="AC257" s="75">
        <v>2.95</v>
      </c>
      <c r="AD257" s="75">
        <v>1.3819999999999999</v>
      </c>
      <c r="AE257" s="75">
        <v>1.351</v>
      </c>
      <c r="AF257" s="105">
        <v>1.226</v>
      </c>
    </row>
    <row r="258" spans="2:32" x14ac:dyDescent="0.3">
      <c r="B258" s="111">
        <v>42.166666666666607</v>
      </c>
      <c r="C258" s="104">
        <v>2.42</v>
      </c>
      <c r="D258" s="75">
        <v>2.4300000000000002</v>
      </c>
      <c r="E258" s="75">
        <v>3.25</v>
      </c>
      <c r="F258" s="75">
        <v>-1.6819999999999999</v>
      </c>
      <c r="G258" s="75">
        <v>-1.57</v>
      </c>
      <c r="H258" s="105">
        <v>-1.98</v>
      </c>
      <c r="I258" s="104">
        <v>2.2799999999999998</v>
      </c>
      <c r="J258" s="75">
        <v>2.2799999999999998</v>
      </c>
      <c r="K258" s="75">
        <v>3.11</v>
      </c>
      <c r="L258" s="75">
        <v>-0.32</v>
      </c>
      <c r="M258" s="75">
        <v>0.248</v>
      </c>
      <c r="N258" s="105">
        <v>0.32100000000000001</v>
      </c>
      <c r="O258" s="104">
        <v>17.399999999999999</v>
      </c>
      <c r="P258" s="75">
        <v>17.329999999999998</v>
      </c>
      <c r="Q258" s="75">
        <v>17.38</v>
      </c>
      <c r="R258" s="75">
        <v>-4.1719999999999997</v>
      </c>
      <c r="S258" s="75">
        <v>-4.1769999999999996</v>
      </c>
      <c r="T258" s="105">
        <v>-4.1529999999999996</v>
      </c>
      <c r="U258" s="104">
        <v>17.53</v>
      </c>
      <c r="V258" s="75">
        <v>17.43</v>
      </c>
      <c r="W258" s="75">
        <v>17.399999999999999</v>
      </c>
      <c r="X258" s="75">
        <v>-0.93100000000000005</v>
      </c>
      <c r="Y258" s="75">
        <v>-1.411</v>
      </c>
      <c r="Z258" s="105">
        <v>-1.944</v>
      </c>
      <c r="AA258" s="104">
        <v>2.1</v>
      </c>
      <c r="AB258" s="75">
        <v>2.11</v>
      </c>
      <c r="AC258" s="75">
        <v>2.92</v>
      </c>
      <c r="AD258" s="75">
        <v>1.2330000000000001</v>
      </c>
      <c r="AE258" s="75">
        <v>1.496</v>
      </c>
      <c r="AF258" s="105">
        <v>1.321</v>
      </c>
    </row>
    <row r="259" spans="2:32" x14ac:dyDescent="0.3">
      <c r="B259" s="111">
        <v>42.333333333333272</v>
      </c>
      <c r="C259" s="104">
        <v>2.41</v>
      </c>
      <c r="D259" s="75">
        <v>2.4300000000000002</v>
      </c>
      <c r="E259" s="75">
        <v>3.23</v>
      </c>
      <c r="F259" s="75">
        <v>-1.5509999999999999</v>
      </c>
      <c r="G259" s="75">
        <v>-1.405</v>
      </c>
      <c r="H259" s="105">
        <v>-1.873</v>
      </c>
      <c r="I259" s="104">
        <v>2.2599999999999998</v>
      </c>
      <c r="J259" s="75">
        <v>2.27</v>
      </c>
      <c r="K259" s="75">
        <v>3.08</v>
      </c>
      <c r="L259" s="75">
        <v>0.24299999999999999</v>
      </c>
      <c r="M259" s="75">
        <v>0.48399999999999999</v>
      </c>
      <c r="N259" s="105">
        <v>0.36599999999999999</v>
      </c>
      <c r="O259" s="104">
        <v>17.34</v>
      </c>
      <c r="P259" s="75">
        <v>17.260000000000002</v>
      </c>
      <c r="Q259" s="75">
        <v>17.3</v>
      </c>
      <c r="R259" s="75">
        <v>-3.8460000000000001</v>
      </c>
      <c r="S259" s="75">
        <v>-4.07</v>
      </c>
      <c r="T259" s="105">
        <v>-4.1740000000000004</v>
      </c>
      <c r="U259" s="104">
        <v>17.47</v>
      </c>
      <c r="V259" s="75">
        <v>17.36</v>
      </c>
      <c r="W259" s="75">
        <v>17.32</v>
      </c>
      <c r="X259" s="75">
        <v>-0.66900000000000004</v>
      </c>
      <c r="Y259" s="75">
        <v>-1.2769999999999999</v>
      </c>
      <c r="Z259" s="105">
        <v>-2.0379999999999998</v>
      </c>
      <c r="AA259" s="104">
        <v>2.09</v>
      </c>
      <c r="AB259" s="75">
        <v>2.1</v>
      </c>
      <c r="AC259" s="75">
        <v>2.9</v>
      </c>
      <c r="AD259" s="75">
        <v>1.3580000000000001</v>
      </c>
      <c r="AE259" s="75">
        <v>1.6839999999999999</v>
      </c>
      <c r="AF259" s="105">
        <v>1.244</v>
      </c>
    </row>
    <row r="260" spans="2:32" x14ac:dyDescent="0.3">
      <c r="B260" s="111">
        <v>42.499999999999936</v>
      </c>
      <c r="C260" s="104">
        <v>2.41</v>
      </c>
      <c r="D260" s="75">
        <v>2.4300000000000002</v>
      </c>
      <c r="E260" s="75">
        <v>3.22</v>
      </c>
      <c r="F260" s="75">
        <v>-1.4810000000000001</v>
      </c>
      <c r="G260" s="75">
        <v>-1.488</v>
      </c>
      <c r="H260" s="105">
        <v>-1.792</v>
      </c>
      <c r="I260" s="104">
        <v>2.2599999999999998</v>
      </c>
      <c r="J260" s="75">
        <v>2.27</v>
      </c>
      <c r="K260" s="75">
        <v>3.07</v>
      </c>
      <c r="L260" s="75">
        <v>0.44600000000000001</v>
      </c>
      <c r="M260" s="75">
        <v>0.70699999999999996</v>
      </c>
      <c r="N260" s="105">
        <v>0.29699999999999999</v>
      </c>
      <c r="O260" s="104">
        <v>17.260000000000002</v>
      </c>
      <c r="P260" s="75">
        <v>17.190000000000001</v>
      </c>
      <c r="Q260" s="75">
        <v>17.23</v>
      </c>
      <c r="R260" s="75">
        <v>-4.1239999999999997</v>
      </c>
      <c r="S260" s="75">
        <v>-3.851</v>
      </c>
      <c r="T260" s="105">
        <v>-3.8050000000000002</v>
      </c>
      <c r="U260" s="104">
        <v>17.399999999999999</v>
      </c>
      <c r="V260" s="75">
        <v>17.29</v>
      </c>
      <c r="W260" s="75">
        <v>17.260000000000002</v>
      </c>
      <c r="X260" s="75">
        <v>-0.99199999999999999</v>
      </c>
      <c r="Y260" s="75">
        <v>-1.117</v>
      </c>
      <c r="Z260" s="105">
        <v>-1.6950000000000001</v>
      </c>
      <c r="AA260" s="104">
        <v>2.09</v>
      </c>
      <c r="AB260" s="75">
        <v>2.1</v>
      </c>
      <c r="AC260" s="75">
        <v>2.89</v>
      </c>
      <c r="AD260" s="75">
        <v>1.456</v>
      </c>
      <c r="AE260" s="75">
        <v>1.63</v>
      </c>
      <c r="AF260" s="105">
        <v>1.302</v>
      </c>
    </row>
    <row r="261" spans="2:32" x14ac:dyDescent="0.3">
      <c r="B261" s="111">
        <v>42.6666666666666</v>
      </c>
      <c r="C261" s="104">
        <v>2.4</v>
      </c>
      <c r="D261" s="75">
        <v>2.42</v>
      </c>
      <c r="E261" s="75">
        <v>3.21</v>
      </c>
      <c r="F261" s="75">
        <v>-1.3759999999999999</v>
      </c>
      <c r="G261" s="75">
        <v>-1.365</v>
      </c>
      <c r="H261" s="105">
        <v>-1.6020000000000001</v>
      </c>
      <c r="I261" s="104">
        <v>2.2599999999999998</v>
      </c>
      <c r="J261" s="75">
        <v>2.27</v>
      </c>
      <c r="K261" s="75">
        <v>3.06</v>
      </c>
      <c r="L261" s="75">
        <v>0.71799999999999997</v>
      </c>
      <c r="M261" s="75">
        <v>0.68899999999999995</v>
      </c>
      <c r="N261" s="105">
        <v>0.433</v>
      </c>
      <c r="O261" s="104">
        <v>17.190000000000001</v>
      </c>
      <c r="P261" s="75">
        <v>17.13</v>
      </c>
      <c r="Q261" s="75">
        <v>17.16</v>
      </c>
      <c r="R261" s="75">
        <v>-3.9830000000000001</v>
      </c>
      <c r="S261" s="75">
        <v>-3.8380000000000001</v>
      </c>
      <c r="T261" s="105">
        <v>-3.74</v>
      </c>
      <c r="U261" s="104">
        <v>17.329999999999998</v>
      </c>
      <c r="V261" s="75">
        <v>17.23</v>
      </c>
      <c r="W261" s="75">
        <v>17.190000000000001</v>
      </c>
      <c r="X261" s="75">
        <v>-0.88200000000000001</v>
      </c>
      <c r="Y261" s="75">
        <v>-1.1379999999999999</v>
      </c>
      <c r="Z261" s="105">
        <v>-1.637</v>
      </c>
      <c r="AA261" s="104">
        <v>2.08</v>
      </c>
      <c r="AB261" s="75">
        <v>2.1</v>
      </c>
      <c r="AC261" s="75">
        <v>2.88</v>
      </c>
      <c r="AD261" s="75">
        <v>1.5009999999999999</v>
      </c>
      <c r="AE261" s="75">
        <v>1.772</v>
      </c>
      <c r="AF261" s="105">
        <v>1.506</v>
      </c>
    </row>
    <row r="262" spans="2:32" x14ac:dyDescent="0.3">
      <c r="B262" s="111">
        <v>42.833333333333265</v>
      </c>
      <c r="C262" s="104">
        <v>2.4</v>
      </c>
      <c r="D262" s="75">
        <v>2.42</v>
      </c>
      <c r="E262" s="75">
        <v>3.2</v>
      </c>
      <c r="F262" s="75">
        <v>-1.31</v>
      </c>
      <c r="G262" s="75">
        <v>-1.3280000000000001</v>
      </c>
      <c r="H262" s="105">
        <v>-1.494</v>
      </c>
      <c r="I262" s="104">
        <v>2.2599999999999998</v>
      </c>
      <c r="J262" s="75">
        <v>2.2599999999999998</v>
      </c>
      <c r="K262" s="75">
        <v>3.05</v>
      </c>
      <c r="L262" s="75">
        <v>0.67800000000000005</v>
      </c>
      <c r="M262" s="75">
        <v>0.95499999999999996</v>
      </c>
      <c r="N262" s="105">
        <v>0.52700000000000002</v>
      </c>
      <c r="O262" s="104">
        <v>17.12</v>
      </c>
      <c r="P262" s="75">
        <v>17.04</v>
      </c>
      <c r="Q262" s="75">
        <v>17.079999999999998</v>
      </c>
      <c r="R262" s="75">
        <v>-3.907</v>
      </c>
      <c r="S262" s="75">
        <v>-4.0119999999999996</v>
      </c>
      <c r="T262" s="105">
        <v>-3.9470000000000001</v>
      </c>
      <c r="U262" s="104">
        <v>17.27</v>
      </c>
      <c r="V262" s="75">
        <v>17.16</v>
      </c>
      <c r="W262" s="75">
        <v>17.12</v>
      </c>
      <c r="X262" s="75">
        <v>-0.83899999999999997</v>
      </c>
      <c r="Y262" s="75">
        <v>-1.3959999999999999</v>
      </c>
      <c r="Z262" s="105">
        <v>-1.9370000000000001</v>
      </c>
      <c r="AA262" s="104">
        <v>2.08</v>
      </c>
      <c r="AB262" s="75">
        <v>2.1</v>
      </c>
      <c r="AC262" s="75">
        <v>2.87</v>
      </c>
      <c r="AD262" s="75">
        <v>1.6379999999999999</v>
      </c>
      <c r="AE262" s="75">
        <v>1.74</v>
      </c>
      <c r="AF262" s="105">
        <v>1.488</v>
      </c>
    </row>
    <row r="263" spans="2:32" x14ac:dyDescent="0.3">
      <c r="B263" s="111">
        <v>42.999999999999929</v>
      </c>
      <c r="C263" s="104">
        <v>2.41</v>
      </c>
      <c r="D263" s="75">
        <v>2.4300000000000002</v>
      </c>
      <c r="E263" s="75">
        <v>3.2</v>
      </c>
      <c r="F263" s="75">
        <v>-1.2490000000000001</v>
      </c>
      <c r="G263" s="75">
        <v>-1.278</v>
      </c>
      <c r="H263" s="105">
        <v>-1.3380000000000001</v>
      </c>
      <c r="I263" s="104">
        <v>2.2599999999999998</v>
      </c>
      <c r="J263" s="75">
        <v>2.27</v>
      </c>
      <c r="K263" s="75">
        <v>3.05</v>
      </c>
      <c r="L263" s="75">
        <v>0.82199999999999995</v>
      </c>
      <c r="M263" s="75">
        <v>0.67900000000000005</v>
      </c>
      <c r="N263" s="105">
        <v>0.56999999999999995</v>
      </c>
      <c r="O263" s="104">
        <v>17.05</v>
      </c>
      <c r="P263" s="75">
        <v>16.97</v>
      </c>
      <c r="Q263" s="75">
        <v>17.010000000000002</v>
      </c>
      <c r="R263" s="75">
        <v>-3.8879999999999999</v>
      </c>
      <c r="S263" s="75">
        <v>-3.7879999999999998</v>
      </c>
      <c r="T263" s="105">
        <v>-3.8330000000000002</v>
      </c>
      <c r="U263" s="104">
        <v>17.2</v>
      </c>
      <c r="V263" s="75">
        <v>17.09</v>
      </c>
      <c r="W263" s="75">
        <v>17.05</v>
      </c>
      <c r="X263" s="75">
        <v>-0.78500000000000003</v>
      </c>
      <c r="Y263" s="75">
        <v>-1.198</v>
      </c>
      <c r="Z263" s="105">
        <v>-2.2429999999999999</v>
      </c>
      <c r="AA263" s="104">
        <v>2.09</v>
      </c>
      <c r="AB263" s="75">
        <v>2.1</v>
      </c>
      <c r="AC263" s="75">
        <v>2.87</v>
      </c>
      <c r="AD263" s="75">
        <v>1.6990000000000001</v>
      </c>
      <c r="AE263" s="75">
        <v>1.788</v>
      </c>
      <c r="AF263" s="105">
        <v>1.6930000000000001</v>
      </c>
    </row>
    <row r="264" spans="2:32" x14ac:dyDescent="0.3">
      <c r="B264" s="111">
        <v>43.166666666666593</v>
      </c>
      <c r="C264" s="104">
        <v>2.4</v>
      </c>
      <c r="D264" s="75">
        <v>2.44</v>
      </c>
      <c r="E264" s="75">
        <v>3.2</v>
      </c>
      <c r="F264" s="75">
        <v>-1.2050000000000001</v>
      </c>
      <c r="G264" s="75">
        <v>-0.91600000000000004</v>
      </c>
      <c r="H264" s="105">
        <v>-1.393</v>
      </c>
      <c r="I264" s="104">
        <v>2.2599999999999998</v>
      </c>
      <c r="J264" s="75">
        <v>2.2799999999999998</v>
      </c>
      <c r="K264" s="75">
        <v>3.05</v>
      </c>
      <c r="L264" s="75">
        <v>0.91100000000000003</v>
      </c>
      <c r="M264" s="75">
        <v>0.8</v>
      </c>
      <c r="N264" s="105">
        <v>0.68</v>
      </c>
      <c r="O264" s="104">
        <v>16.98</v>
      </c>
      <c r="P264" s="75">
        <v>16.89</v>
      </c>
      <c r="Q264" s="75">
        <v>16.940000000000001</v>
      </c>
      <c r="R264" s="75">
        <v>-3.593</v>
      </c>
      <c r="S264" s="75">
        <v>-4.1459999999999999</v>
      </c>
      <c r="T264" s="105">
        <v>-3.64</v>
      </c>
      <c r="U264" s="104">
        <v>17.14</v>
      </c>
      <c r="V264" s="75">
        <v>17.010000000000002</v>
      </c>
      <c r="W264" s="75">
        <v>17</v>
      </c>
      <c r="X264" s="75">
        <v>-0.55700000000000005</v>
      </c>
      <c r="Y264" s="75">
        <v>-1.6719999999999999</v>
      </c>
      <c r="Z264" s="105">
        <v>-4.8470000000000004</v>
      </c>
      <c r="AA264" s="104">
        <v>2.08</v>
      </c>
      <c r="AB264" s="75">
        <v>2.1</v>
      </c>
      <c r="AC264" s="75">
        <v>2.87</v>
      </c>
      <c r="AD264" s="75">
        <v>1.7470000000000001</v>
      </c>
      <c r="AE264" s="75">
        <v>2.2050000000000001</v>
      </c>
      <c r="AF264" s="105">
        <v>1.7450000000000001</v>
      </c>
    </row>
    <row r="265" spans="2:32" x14ac:dyDescent="0.3">
      <c r="B265" s="111">
        <v>43.333333333333258</v>
      </c>
      <c r="C265" s="104">
        <v>2.42</v>
      </c>
      <c r="D265" s="75">
        <v>2.48</v>
      </c>
      <c r="E265" s="75">
        <v>3.2</v>
      </c>
      <c r="F265" s="75">
        <v>-0.71699999999999997</v>
      </c>
      <c r="G265" s="75">
        <v>-0.44600000000000001</v>
      </c>
      <c r="H265" s="105">
        <v>-1.3640000000000001</v>
      </c>
      <c r="I265" s="104">
        <v>2.27</v>
      </c>
      <c r="J265" s="75">
        <v>2.31</v>
      </c>
      <c r="K265" s="75">
        <v>3.05</v>
      </c>
      <c r="L265" s="75">
        <v>0.89100000000000001</v>
      </c>
      <c r="M265" s="75">
        <v>1.2490000000000001</v>
      </c>
      <c r="N265" s="105">
        <v>0.746</v>
      </c>
      <c r="O265" s="104">
        <v>16.89</v>
      </c>
      <c r="P265" s="75">
        <v>16.8</v>
      </c>
      <c r="Q265" s="75">
        <v>16.850000000000001</v>
      </c>
      <c r="R265" s="75">
        <v>-4.327</v>
      </c>
      <c r="S265" s="75">
        <v>-4.109</v>
      </c>
      <c r="T265" s="105">
        <v>-4.2409999999999997</v>
      </c>
      <c r="U265" s="104">
        <v>17.059999999999999</v>
      </c>
      <c r="V265" s="75">
        <v>16.940000000000001</v>
      </c>
      <c r="W265" s="75">
        <v>17</v>
      </c>
      <c r="X265" s="75">
        <v>-1.526</v>
      </c>
      <c r="Y265" s="75">
        <v>-3.4649999999999999</v>
      </c>
      <c r="Z265" s="105">
        <v>-14.22</v>
      </c>
      <c r="AA265" s="104">
        <v>2.1</v>
      </c>
      <c r="AB265" s="75">
        <v>2.14</v>
      </c>
      <c r="AC265" s="75">
        <v>2.87</v>
      </c>
      <c r="AD265" s="75">
        <v>2.214</v>
      </c>
      <c r="AE265" s="75">
        <v>2.7450000000000001</v>
      </c>
      <c r="AF265" s="105">
        <v>1.7709999999999999</v>
      </c>
    </row>
    <row r="266" spans="2:32" x14ac:dyDescent="0.3">
      <c r="B266" s="111">
        <v>43.499999999999922</v>
      </c>
      <c r="C266" s="104">
        <v>2.4500000000000002</v>
      </c>
      <c r="D266" s="75">
        <v>2.5299999999999998</v>
      </c>
      <c r="E266" s="75">
        <v>3.2</v>
      </c>
      <c r="F266" s="75">
        <v>-0.26900000000000002</v>
      </c>
      <c r="G266" s="75">
        <v>0.06</v>
      </c>
      <c r="H266" s="105">
        <v>-1.361</v>
      </c>
      <c r="I266" s="104">
        <v>2.2999999999999998</v>
      </c>
      <c r="J266" s="75">
        <v>2.35</v>
      </c>
      <c r="K266" s="75">
        <v>3.05</v>
      </c>
      <c r="L266" s="75">
        <v>1.3779999999999999</v>
      </c>
      <c r="M266" s="75">
        <v>1.661</v>
      </c>
      <c r="N266" s="105">
        <v>0.88900000000000001</v>
      </c>
      <c r="O266" s="104">
        <v>16.809999999999999</v>
      </c>
      <c r="P266" s="75">
        <v>16.72</v>
      </c>
      <c r="Q266" s="75">
        <v>16.760000000000002</v>
      </c>
      <c r="R266" s="75">
        <v>-4.1210000000000004</v>
      </c>
      <c r="S266" s="75">
        <v>-3.9079999999999999</v>
      </c>
      <c r="T266" s="105">
        <v>-4.0650000000000004</v>
      </c>
      <c r="U266" s="104">
        <v>16.989999999999998</v>
      </c>
      <c r="V266" s="75">
        <v>16.93</v>
      </c>
      <c r="W266" s="75">
        <v>17.239999999999998</v>
      </c>
      <c r="X266" s="75">
        <v>-4.3959999999999999</v>
      </c>
      <c r="Y266" s="75">
        <v>-13.11</v>
      </c>
      <c r="Z266" s="105">
        <v>-19.18</v>
      </c>
      <c r="AA266" s="104">
        <v>2.13</v>
      </c>
      <c r="AB266" s="75">
        <v>2.19</v>
      </c>
      <c r="AC266" s="75">
        <v>2.87</v>
      </c>
      <c r="AD266" s="75">
        <v>2.7490000000000001</v>
      </c>
      <c r="AE266" s="75">
        <v>3.298</v>
      </c>
      <c r="AF266" s="105">
        <v>1.7889999999999999</v>
      </c>
    </row>
    <row r="267" spans="2:32" x14ac:dyDescent="0.3">
      <c r="B267" s="111">
        <v>43.666666666666586</v>
      </c>
      <c r="C267" s="104">
        <v>2.5</v>
      </c>
      <c r="D267" s="75">
        <v>2.58</v>
      </c>
      <c r="E267" s="75">
        <v>3.2</v>
      </c>
      <c r="F267" s="75">
        <v>0.16500000000000001</v>
      </c>
      <c r="G267" s="75">
        <v>0.29099999999999998</v>
      </c>
      <c r="H267" s="105">
        <v>-1.4079999999999999</v>
      </c>
      <c r="I267" s="104">
        <v>2.35</v>
      </c>
      <c r="J267" s="75">
        <v>2.41</v>
      </c>
      <c r="K267" s="75">
        <v>3.04</v>
      </c>
      <c r="L267" s="75">
        <v>1.8680000000000001</v>
      </c>
      <c r="M267" s="75">
        <v>2.319</v>
      </c>
      <c r="N267" s="105">
        <v>0.86099999999999999</v>
      </c>
      <c r="O267" s="104">
        <v>16.73</v>
      </c>
      <c r="P267" s="75">
        <v>16.649999999999999</v>
      </c>
      <c r="Q267" s="75">
        <v>16.68</v>
      </c>
      <c r="R267" s="75">
        <v>-3.9380000000000002</v>
      </c>
      <c r="S267" s="75">
        <v>-3.778</v>
      </c>
      <c r="T267" s="105">
        <v>-3.8039999999999998</v>
      </c>
      <c r="U267" s="104">
        <v>17.059999999999999</v>
      </c>
      <c r="V267" s="75">
        <v>17.16</v>
      </c>
      <c r="W267" s="75">
        <v>17.46</v>
      </c>
      <c r="X267" s="75">
        <v>-15.53</v>
      </c>
      <c r="Y267" s="75">
        <v>-19.39</v>
      </c>
      <c r="Z267" s="105">
        <v>-20.100000000000001</v>
      </c>
      <c r="AA267" s="104">
        <v>2.1800000000000002</v>
      </c>
      <c r="AB267" s="75">
        <v>2.2400000000000002</v>
      </c>
      <c r="AC267" s="75">
        <v>2.86</v>
      </c>
      <c r="AD267" s="75">
        <v>3.2290000000000001</v>
      </c>
      <c r="AE267" s="75">
        <v>3.5750000000000002</v>
      </c>
      <c r="AF267" s="105">
        <v>1.7490000000000001</v>
      </c>
    </row>
    <row r="268" spans="2:32" x14ac:dyDescent="0.3">
      <c r="B268" s="111">
        <v>43.83333333333325</v>
      </c>
      <c r="C268" s="104">
        <v>2.56</v>
      </c>
      <c r="D268" s="75">
        <v>2.63</v>
      </c>
      <c r="E268" s="75">
        <v>3.2</v>
      </c>
      <c r="F268" s="75">
        <v>0.40699999999999997</v>
      </c>
      <c r="G268" s="75">
        <v>0.40300000000000002</v>
      </c>
      <c r="H268" s="105">
        <v>-1.294</v>
      </c>
      <c r="I268" s="104">
        <v>2.4</v>
      </c>
      <c r="J268" s="75">
        <v>2.46</v>
      </c>
      <c r="K268" s="75">
        <v>3.04</v>
      </c>
      <c r="L268" s="75">
        <v>2.3919999999999999</v>
      </c>
      <c r="M268" s="75">
        <v>2.7029999999999998</v>
      </c>
      <c r="N268" s="105">
        <v>0.59799999999999998</v>
      </c>
      <c r="O268" s="104">
        <v>16.649999999999999</v>
      </c>
      <c r="P268" s="75">
        <v>16.57</v>
      </c>
      <c r="Q268" s="75">
        <v>16.600000000000001</v>
      </c>
      <c r="R268" s="75">
        <v>-3.94</v>
      </c>
      <c r="S268" s="75">
        <v>-3.7280000000000002</v>
      </c>
      <c r="T268" s="105">
        <v>-3.86</v>
      </c>
      <c r="U268" s="104">
        <v>17.41</v>
      </c>
      <c r="V268" s="75">
        <v>17.45</v>
      </c>
      <c r="W268" s="75">
        <v>17.48</v>
      </c>
      <c r="X268" s="75">
        <v>-18.62</v>
      </c>
      <c r="Y268" s="75">
        <v>-20.36</v>
      </c>
      <c r="Z268" s="105">
        <v>-21.23</v>
      </c>
      <c r="AA268" s="104">
        <v>2.2400000000000002</v>
      </c>
      <c r="AB268" s="75">
        <v>2.2999999999999998</v>
      </c>
      <c r="AC268" s="75">
        <v>2.86</v>
      </c>
      <c r="AD268" s="75">
        <v>3.5950000000000002</v>
      </c>
      <c r="AE268" s="75">
        <v>3.7869999999999999</v>
      </c>
      <c r="AF268" s="105">
        <v>1.8089999999999999</v>
      </c>
    </row>
    <row r="269" spans="2:32" x14ac:dyDescent="0.3">
      <c r="B269" s="111">
        <v>43.999999999999915</v>
      </c>
      <c r="C269" s="104">
        <v>2.63</v>
      </c>
      <c r="D269" s="75">
        <v>2.7</v>
      </c>
      <c r="E269" s="75">
        <v>3.2</v>
      </c>
      <c r="F269" s="75">
        <v>0.55100000000000005</v>
      </c>
      <c r="G269" s="75">
        <v>0.52600000000000002</v>
      </c>
      <c r="H269" s="105">
        <v>-1.349</v>
      </c>
      <c r="I269" s="104">
        <v>2.4700000000000002</v>
      </c>
      <c r="J269" s="75">
        <v>2.5299999999999998</v>
      </c>
      <c r="K269" s="75">
        <v>3.04</v>
      </c>
      <c r="L269" s="75">
        <v>2.669</v>
      </c>
      <c r="M269" s="75">
        <v>2.6539999999999999</v>
      </c>
      <c r="N269" s="105">
        <v>0.76200000000000001</v>
      </c>
      <c r="O269" s="104">
        <v>16.57</v>
      </c>
      <c r="P269" s="75">
        <v>16.5</v>
      </c>
      <c r="Q269" s="75">
        <v>16.53</v>
      </c>
      <c r="R269" s="75">
        <v>-3.7730000000000001</v>
      </c>
      <c r="S269" s="75">
        <v>-3.8410000000000002</v>
      </c>
      <c r="T269" s="105">
        <v>-3.677</v>
      </c>
      <c r="U269" s="104">
        <v>17.52</v>
      </c>
      <c r="V269" s="75">
        <v>17.48</v>
      </c>
      <c r="W269" s="75">
        <v>17.46</v>
      </c>
      <c r="X269" s="75">
        <v>-19.55</v>
      </c>
      <c r="Y269" s="75">
        <v>-21.38</v>
      </c>
      <c r="Z269" s="105">
        <v>-22</v>
      </c>
      <c r="AA269" s="104">
        <v>2.2999999999999998</v>
      </c>
      <c r="AB269" s="75">
        <v>2.36</v>
      </c>
      <c r="AC269" s="75">
        <v>2.87</v>
      </c>
      <c r="AD269" s="75">
        <v>3.7469999999999999</v>
      </c>
      <c r="AE269" s="75">
        <v>3.9550000000000001</v>
      </c>
      <c r="AF269" s="105">
        <v>1.8280000000000001</v>
      </c>
    </row>
    <row r="270" spans="2:32" x14ac:dyDescent="0.3">
      <c r="B270" s="111">
        <v>44.166666666666579</v>
      </c>
      <c r="C270" s="104">
        <v>2.69</v>
      </c>
      <c r="D270" s="75">
        <v>2.77</v>
      </c>
      <c r="E270" s="75">
        <v>3.2</v>
      </c>
      <c r="F270" s="75">
        <v>0.61699999999999999</v>
      </c>
      <c r="G270" s="75">
        <v>0.79100000000000004</v>
      </c>
      <c r="H270" s="105">
        <v>-1.329</v>
      </c>
      <c r="I270" s="104">
        <v>2.5299999999999998</v>
      </c>
      <c r="J270" s="75">
        <v>2.6</v>
      </c>
      <c r="K270" s="75">
        <v>3.04</v>
      </c>
      <c r="L270" s="75">
        <v>2.7730000000000001</v>
      </c>
      <c r="M270" s="75">
        <v>2.7909999999999999</v>
      </c>
      <c r="N270" s="105">
        <v>0.89</v>
      </c>
      <c r="O270" s="104">
        <v>16.5</v>
      </c>
      <c r="P270" s="75">
        <v>16.43</v>
      </c>
      <c r="Q270" s="75">
        <v>16.45</v>
      </c>
      <c r="R270" s="75">
        <v>-3.7109999999999999</v>
      </c>
      <c r="S270" s="75">
        <v>-3.6059999999999999</v>
      </c>
      <c r="T270" s="105">
        <v>-3.6789999999999998</v>
      </c>
      <c r="U270" s="104">
        <v>17.510000000000002</v>
      </c>
      <c r="V270" s="75">
        <v>17.46</v>
      </c>
      <c r="W270" s="75">
        <v>17.43</v>
      </c>
      <c r="X270" s="75">
        <v>-20.46</v>
      </c>
      <c r="Y270" s="75">
        <v>-22.2</v>
      </c>
      <c r="Z270" s="105">
        <v>-23.06</v>
      </c>
      <c r="AA270" s="104">
        <v>2.36</v>
      </c>
      <c r="AB270" s="75">
        <v>2.4300000000000002</v>
      </c>
      <c r="AC270" s="75">
        <v>2.86</v>
      </c>
      <c r="AD270" s="75">
        <v>3.827</v>
      </c>
      <c r="AE270" s="75">
        <v>4.274</v>
      </c>
      <c r="AF270" s="105">
        <v>1.8560000000000001</v>
      </c>
    </row>
    <row r="271" spans="2:32" x14ac:dyDescent="0.3">
      <c r="B271" s="111">
        <v>44.333333333333243</v>
      </c>
      <c r="C271" s="104">
        <v>2.76</v>
      </c>
      <c r="D271" s="75">
        <v>2.84</v>
      </c>
      <c r="E271" s="75">
        <v>3.2</v>
      </c>
      <c r="F271" s="75">
        <v>0.76900000000000002</v>
      </c>
      <c r="G271" s="75">
        <v>0.879</v>
      </c>
      <c r="H271" s="105">
        <v>-1.351</v>
      </c>
      <c r="I271" s="104">
        <v>2.61</v>
      </c>
      <c r="J271" s="75">
        <v>2.67</v>
      </c>
      <c r="K271" s="75">
        <v>3.04</v>
      </c>
      <c r="L271" s="75">
        <v>2.6909999999999998</v>
      </c>
      <c r="M271" s="75">
        <v>3.0680000000000001</v>
      </c>
      <c r="N271" s="105">
        <v>0.75800000000000001</v>
      </c>
      <c r="O271" s="104">
        <v>16.43</v>
      </c>
      <c r="P271" s="75">
        <v>16.350000000000001</v>
      </c>
      <c r="Q271" s="75">
        <v>16.38</v>
      </c>
      <c r="R271" s="75">
        <v>-3.6869999999999998</v>
      </c>
      <c r="S271" s="75">
        <v>-3.597</v>
      </c>
      <c r="T271" s="105">
        <v>-3.5990000000000002</v>
      </c>
      <c r="U271" s="104">
        <v>17.48</v>
      </c>
      <c r="V271" s="75">
        <v>17.440000000000001</v>
      </c>
      <c r="W271" s="75">
        <v>17.399999999999999</v>
      </c>
      <c r="X271" s="75">
        <v>-21.39</v>
      </c>
      <c r="Y271" s="75">
        <v>-22.98</v>
      </c>
      <c r="Z271" s="105">
        <v>-23.92</v>
      </c>
      <c r="AA271" s="104">
        <v>2.44</v>
      </c>
      <c r="AB271" s="75">
        <v>2.5</v>
      </c>
      <c r="AC271" s="75">
        <v>2.86</v>
      </c>
      <c r="AD271" s="75">
        <v>4.0549999999999997</v>
      </c>
      <c r="AE271" s="75">
        <v>4.359</v>
      </c>
      <c r="AF271" s="105">
        <v>1.8620000000000001</v>
      </c>
    </row>
    <row r="272" spans="2:32" x14ac:dyDescent="0.3">
      <c r="B272" s="111">
        <v>44.499999999999908</v>
      </c>
      <c r="C272" s="104">
        <v>2.82</v>
      </c>
      <c r="D272" s="75">
        <v>2.9</v>
      </c>
      <c r="E272" s="75">
        <v>3.2</v>
      </c>
      <c r="F272" s="75">
        <v>0.83499999999999996</v>
      </c>
      <c r="G272" s="75">
        <v>0.751</v>
      </c>
      <c r="H272" s="105">
        <v>-1.2609999999999999</v>
      </c>
      <c r="I272" s="104">
        <v>2.67</v>
      </c>
      <c r="J272" s="75">
        <v>2.73</v>
      </c>
      <c r="K272" s="75">
        <v>3.04</v>
      </c>
      <c r="L272" s="75">
        <v>3.0950000000000002</v>
      </c>
      <c r="M272" s="75">
        <v>3.0419999999999998</v>
      </c>
      <c r="N272" s="105">
        <v>0.80400000000000005</v>
      </c>
      <c r="O272" s="104">
        <v>16.350000000000001</v>
      </c>
      <c r="P272" s="75">
        <v>16.28</v>
      </c>
      <c r="Q272" s="75">
        <v>16.3</v>
      </c>
      <c r="R272" s="75">
        <v>-3.6309999999999998</v>
      </c>
      <c r="S272" s="75">
        <v>-3.496</v>
      </c>
      <c r="T272" s="105">
        <v>-3.53</v>
      </c>
      <c r="U272" s="104">
        <v>17.45</v>
      </c>
      <c r="V272" s="75">
        <v>17.41</v>
      </c>
      <c r="W272" s="75">
        <v>17.37</v>
      </c>
      <c r="X272" s="75">
        <v>-22.22</v>
      </c>
      <c r="Y272" s="75">
        <v>-23.86</v>
      </c>
      <c r="Z272" s="105">
        <v>-24.78</v>
      </c>
      <c r="AA272" s="104">
        <v>2.5</v>
      </c>
      <c r="AB272" s="75">
        <v>2.56</v>
      </c>
      <c r="AC272" s="75">
        <v>2.86</v>
      </c>
      <c r="AD272" s="75">
        <v>4.1449999999999996</v>
      </c>
      <c r="AE272" s="75">
        <v>4.2709999999999999</v>
      </c>
      <c r="AF272" s="105">
        <v>1.952</v>
      </c>
    </row>
    <row r="273" spans="2:32" x14ac:dyDescent="0.3">
      <c r="B273" s="111">
        <v>44.666666666666572</v>
      </c>
      <c r="C273" s="104">
        <v>2.89</v>
      </c>
      <c r="D273" s="75">
        <v>2.97</v>
      </c>
      <c r="E273" s="75">
        <v>3.2</v>
      </c>
      <c r="F273" s="75">
        <v>0.873</v>
      </c>
      <c r="G273" s="75">
        <v>0.80900000000000005</v>
      </c>
      <c r="H273" s="105">
        <v>-1.2509999999999999</v>
      </c>
      <c r="I273" s="104">
        <v>2.73</v>
      </c>
      <c r="J273" s="75">
        <v>2.81</v>
      </c>
      <c r="K273" s="75">
        <v>3.04</v>
      </c>
      <c r="L273" s="75">
        <v>3.1280000000000001</v>
      </c>
      <c r="M273" s="75">
        <v>2.911</v>
      </c>
      <c r="N273" s="105">
        <v>0.96899999999999997</v>
      </c>
      <c r="O273" s="104">
        <v>16.28</v>
      </c>
      <c r="P273" s="75">
        <v>16.2</v>
      </c>
      <c r="Q273" s="75">
        <v>16.23</v>
      </c>
      <c r="R273" s="75">
        <v>-3.52</v>
      </c>
      <c r="S273" s="75">
        <v>-3.6059999999999999</v>
      </c>
      <c r="T273" s="105">
        <v>-3.5139999999999998</v>
      </c>
      <c r="U273" s="104">
        <v>17.420000000000002</v>
      </c>
      <c r="V273" s="75">
        <v>17.37</v>
      </c>
      <c r="W273" s="75">
        <v>17.329999999999998</v>
      </c>
      <c r="X273" s="75">
        <v>-23.02</v>
      </c>
      <c r="Y273" s="75">
        <v>-24.722999999999999</v>
      </c>
      <c r="Z273" s="105">
        <v>-25.72</v>
      </c>
      <c r="AA273" s="104">
        <v>2.56</v>
      </c>
      <c r="AB273" s="75">
        <v>2.63</v>
      </c>
      <c r="AC273" s="75">
        <v>2.86</v>
      </c>
      <c r="AD273" s="75">
        <v>4.2030000000000003</v>
      </c>
      <c r="AE273" s="75">
        <v>4.3460000000000001</v>
      </c>
      <c r="AF273" s="105">
        <v>1.927</v>
      </c>
    </row>
    <row r="274" spans="2:32" x14ac:dyDescent="0.3">
      <c r="B274" s="111">
        <v>44.833333333333236</v>
      </c>
      <c r="C274" s="104">
        <v>2.97</v>
      </c>
      <c r="D274" s="75">
        <v>3.05</v>
      </c>
      <c r="E274" s="75">
        <v>3.22</v>
      </c>
      <c r="F274" s="75">
        <v>0.94</v>
      </c>
      <c r="G274" s="75">
        <v>0.92200000000000004</v>
      </c>
      <c r="H274" s="105">
        <v>-0.69899999999999995</v>
      </c>
      <c r="I274" s="104">
        <v>2.81</v>
      </c>
      <c r="J274" s="75">
        <v>2.88</v>
      </c>
      <c r="K274" s="75">
        <v>3.06</v>
      </c>
      <c r="L274" s="75">
        <v>2.915</v>
      </c>
      <c r="M274" s="75">
        <v>3.0339999999999998</v>
      </c>
      <c r="N274" s="105">
        <v>0.95</v>
      </c>
      <c r="O274" s="104">
        <v>16.2</v>
      </c>
      <c r="P274" s="75">
        <v>16.13</v>
      </c>
      <c r="Q274" s="75">
        <v>16.16</v>
      </c>
      <c r="R274" s="75">
        <v>-3.61</v>
      </c>
      <c r="S274" s="75">
        <v>-3.6789999999999998</v>
      </c>
      <c r="T274" s="105">
        <v>-3.4569999999999999</v>
      </c>
      <c r="U274" s="104">
        <v>17.39</v>
      </c>
      <c r="V274" s="75">
        <v>17.34</v>
      </c>
      <c r="W274" s="75">
        <v>17.29</v>
      </c>
      <c r="X274" s="75">
        <v>-23.95</v>
      </c>
      <c r="Y274" s="75">
        <v>-25.585000000000001</v>
      </c>
      <c r="Z274" s="105">
        <v>-26.49</v>
      </c>
      <c r="AA274" s="104">
        <v>2.64</v>
      </c>
      <c r="AB274" s="75">
        <v>2.71</v>
      </c>
      <c r="AC274" s="75">
        <v>2.89</v>
      </c>
      <c r="AD274" s="75">
        <v>4.3460000000000001</v>
      </c>
      <c r="AE274" s="75">
        <v>4.4939999999999998</v>
      </c>
      <c r="AF274" s="105">
        <v>2.5409999999999999</v>
      </c>
    </row>
    <row r="275" spans="2:32" x14ac:dyDescent="0.3">
      <c r="B275" s="111">
        <v>44.999999999999901</v>
      </c>
      <c r="C275" s="104">
        <v>3.03</v>
      </c>
      <c r="D275" s="75">
        <v>3.12</v>
      </c>
      <c r="E275" s="75">
        <v>3.26</v>
      </c>
      <c r="F275" s="75">
        <v>0.745</v>
      </c>
      <c r="G275" s="75">
        <v>1.0649999999999999</v>
      </c>
      <c r="H275" s="105">
        <v>-0.21199999999999999</v>
      </c>
      <c r="I275" s="104">
        <v>2.88</v>
      </c>
      <c r="J275" s="75">
        <v>2.95</v>
      </c>
      <c r="K275" s="75">
        <v>3.09</v>
      </c>
      <c r="L275" s="75">
        <v>3.153</v>
      </c>
      <c r="M275" s="75">
        <v>3.101</v>
      </c>
      <c r="N275" s="105">
        <v>1.492</v>
      </c>
      <c r="O275" s="104">
        <v>16.12</v>
      </c>
      <c r="P275" s="75">
        <v>16.059999999999999</v>
      </c>
      <c r="Q275" s="75">
        <v>16.079999999999998</v>
      </c>
      <c r="R275" s="75">
        <v>-3.6890000000000001</v>
      </c>
      <c r="S275" s="75">
        <v>-3.5009999999999999</v>
      </c>
      <c r="T275" s="105">
        <v>-3.4079999999999999</v>
      </c>
      <c r="U275" s="104">
        <v>17.350000000000001</v>
      </c>
      <c r="V275" s="75">
        <v>17.3</v>
      </c>
      <c r="W275" s="75">
        <v>17.260000000000002</v>
      </c>
      <c r="X275" s="75">
        <v>-24.74</v>
      </c>
      <c r="Y275" s="75">
        <v>-26.824000000000002</v>
      </c>
      <c r="Z275" s="105">
        <v>-27.53</v>
      </c>
      <c r="AA275" s="104">
        <v>2.7</v>
      </c>
      <c r="AB275" s="75">
        <v>2.78</v>
      </c>
      <c r="AC275" s="75">
        <v>2.92</v>
      </c>
      <c r="AD275" s="75">
        <v>4.0810000000000004</v>
      </c>
      <c r="AE275" s="75">
        <v>4.6580000000000004</v>
      </c>
      <c r="AF275" s="105">
        <v>2.9470000000000001</v>
      </c>
    </row>
    <row r="276" spans="2:32" x14ac:dyDescent="0.3">
      <c r="B276" s="111">
        <v>45.166666666666565</v>
      </c>
      <c r="C276" s="104">
        <v>3.11</v>
      </c>
      <c r="D276" s="75">
        <v>3.2</v>
      </c>
      <c r="E276" s="75">
        <v>3.33</v>
      </c>
      <c r="F276" s="75">
        <v>0.95299999999999996</v>
      </c>
      <c r="G276" s="75">
        <v>1.228</v>
      </c>
      <c r="H276" s="105">
        <v>0.51700000000000002</v>
      </c>
      <c r="I276" s="104">
        <v>2.95</v>
      </c>
      <c r="J276" s="75">
        <v>3.03</v>
      </c>
      <c r="K276" s="75">
        <v>3.16</v>
      </c>
      <c r="L276" s="75">
        <v>2.83</v>
      </c>
      <c r="M276" s="75">
        <v>3.2719999999999998</v>
      </c>
      <c r="N276" s="105">
        <v>1.9339999999999999</v>
      </c>
      <c r="O276" s="104">
        <v>16.059999999999999</v>
      </c>
      <c r="P276" s="75">
        <v>15.98</v>
      </c>
      <c r="Q276" s="75">
        <v>16.010000000000002</v>
      </c>
      <c r="R276" s="75">
        <v>-3.4809999999999999</v>
      </c>
      <c r="S276" s="75">
        <v>-3.4340000000000002</v>
      </c>
      <c r="T276" s="105">
        <v>-3.4529999999999998</v>
      </c>
      <c r="U276" s="104">
        <v>17.32</v>
      </c>
      <c r="V276" s="75">
        <v>17.27</v>
      </c>
      <c r="W276" s="75">
        <v>17.22</v>
      </c>
      <c r="X276" s="75">
        <v>-25.54</v>
      </c>
      <c r="Y276" s="75">
        <v>-27.31</v>
      </c>
      <c r="Z276" s="105">
        <v>-28.15</v>
      </c>
      <c r="AA276" s="104">
        <v>2.77</v>
      </c>
      <c r="AB276" s="75">
        <v>2.86</v>
      </c>
      <c r="AC276" s="75">
        <v>2.99</v>
      </c>
      <c r="AD276" s="75">
        <v>4.3470000000000004</v>
      </c>
      <c r="AE276" s="75">
        <v>4.7850000000000001</v>
      </c>
      <c r="AF276" s="105">
        <v>3.8239999999999998</v>
      </c>
    </row>
    <row r="277" spans="2:32" x14ac:dyDescent="0.3">
      <c r="B277" s="111">
        <v>45.333333333333229</v>
      </c>
      <c r="C277" s="104">
        <v>3.18</v>
      </c>
      <c r="D277" s="75">
        <v>3.29</v>
      </c>
      <c r="E277" s="75">
        <v>3.4</v>
      </c>
      <c r="F277" s="75">
        <v>1.1519999999999999</v>
      </c>
      <c r="G277" s="75">
        <v>1.2470000000000001</v>
      </c>
      <c r="H277" s="105">
        <v>0.72</v>
      </c>
      <c r="I277" s="104">
        <v>3.02</v>
      </c>
      <c r="J277" s="75">
        <v>3.12</v>
      </c>
      <c r="K277" s="75">
        <v>3.22</v>
      </c>
      <c r="L277" s="75">
        <v>3.2949999999999999</v>
      </c>
      <c r="M277" s="75">
        <v>3.536</v>
      </c>
      <c r="N277" s="105">
        <v>2.8319999999999999</v>
      </c>
      <c r="O277" s="104">
        <v>15.98</v>
      </c>
      <c r="P277" s="75">
        <v>15.91</v>
      </c>
      <c r="Q277" s="75">
        <v>15.94</v>
      </c>
      <c r="R277" s="75">
        <v>-3.4740000000000002</v>
      </c>
      <c r="S277" s="75">
        <v>-3.5310000000000001</v>
      </c>
      <c r="T277" s="105">
        <v>-3.1360000000000001</v>
      </c>
      <c r="U277" s="104">
        <v>17.28</v>
      </c>
      <c r="V277" s="75">
        <v>17.23</v>
      </c>
      <c r="W277" s="75">
        <v>17.190000000000001</v>
      </c>
      <c r="X277" s="75">
        <v>-26.35</v>
      </c>
      <c r="Y277" s="75">
        <v>-28.2</v>
      </c>
      <c r="Z277" s="105">
        <v>-28.76</v>
      </c>
      <c r="AA277" s="104">
        <v>2.84</v>
      </c>
      <c r="AB277" s="75">
        <v>2.95</v>
      </c>
      <c r="AC277" s="75">
        <v>3.05</v>
      </c>
      <c r="AD277" s="75">
        <v>4.5019999999999998</v>
      </c>
      <c r="AE277" s="75">
        <v>4.7969999999999997</v>
      </c>
      <c r="AF277" s="105">
        <v>4.1550000000000002</v>
      </c>
    </row>
    <row r="278" spans="2:32" x14ac:dyDescent="0.3">
      <c r="B278" s="111">
        <v>45.499999999999893</v>
      </c>
      <c r="C278" s="104">
        <v>3.26</v>
      </c>
      <c r="D278" s="75">
        <v>3.37</v>
      </c>
      <c r="E278" s="75">
        <v>3.46</v>
      </c>
      <c r="F278" s="75">
        <v>1.43</v>
      </c>
      <c r="G278" s="75">
        <v>1.2749999999999999</v>
      </c>
      <c r="H278" s="105">
        <v>0.81499999999999995</v>
      </c>
      <c r="I278" s="104">
        <v>3.1</v>
      </c>
      <c r="J278" s="75">
        <v>3.2</v>
      </c>
      <c r="K278" s="75">
        <v>3.29</v>
      </c>
      <c r="L278" s="75">
        <v>3.367</v>
      </c>
      <c r="M278" s="75">
        <v>3.35</v>
      </c>
      <c r="N278" s="105">
        <v>2.9380000000000002</v>
      </c>
      <c r="O278" s="104">
        <v>15.91</v>
      </c>
      <c r="P278" s="75">
        <v>15.82</v>
      </c>
      <c r="Q278" s="75">
        <v>15.87</v>
      </c>
      <c r="R278" s="75">
        <v>-3.2850000000000001</v>
      </c>
      <c r="S278" s="75">
        <v>-3.7360000000000002</v>
      </c>
      <c r="T278" s="105">
        <v>-3.2450000000000001</v>
      </c>
      <c r="U278" s="104">
        <v>17.25</v>
      </c>
      <c r="V278" s="75">
        <v>17.18</v>
      </c>
      <c r="W278" s="75">
        <v>17.149999999999999</v>
      </c>
      <c r="X278" s="75">
        <v>-27.12</v>
      </c>
      <c r="Y278" s="75">
        <v>-29.4</v>
      </c>
      <c r="Z278" s="105">
        <v>-29.55</v>
      </c>
      <c r="AA278" s="104">
        <v>2.93</v>
      </c>
      <c r="AB278" s="75">
        <v>3.03</v>
      </c>
      <c r="AC278" s="75">
        <v>3.11</v>
      </c>
      <c r="AD278" s="75">
        <v>4.8150000000000004</v>
      </c>
      <c r="AE278" s="75">
        <v>4.9489999999999998</v>
      </c>
      <c r="AF278" s="105">
        <v>4.3029999999999999</v>
      </c>
    </row>
    <row r="279" spans="2:32" x14ac:dyDescent="0.3">
      <c r="B279" s="111">
        <v>45.666666666666558</v>
      </c>
      <c r="C279" s="104">
        <v>3.34</v>
      </c>
      <c r="D279" s="75">
        <v>3.45</v>
      </c>
      <c r="E279" s="75">
        <v>3.53</v>
      </c>
      <c r="F279" s="75">
        <v>1.302</v>
      </c>
      <c r="G279" s="75">
        <v>1.2649999999999999</v>
      </c>
      <c r="H279" s="105">
        <v>0.79</v>
      </c>
      <c r="I279" s="104">
        <v>3.18</v>
      </c>
      <c r="J279" s="75">
        <v>3.28</v>
      </c>
      <c r="K279" s="75">
        <v>3.36</v>
      </c>
      <c r="L279" s="75">
        <v>3.6150000000000002</v>
      </c>
      <c r="M279" s="75">
        <v>3.4889999999999999</v>
      </c>
      <c r="N279" s="105">
        <v>3.2090000000000001</v>
      </c>
      <c r="O279" s="104">
        <v>15.83</v>
      </c>
      <c r="P279" s="75">
        <v>15.74</v>
      </c>
      <c r="Q279" s="75">
        <v>15.78</v>
      </c>
      <c r="R279" s="75">
        <v>-3.7250000000000001</v>
      </c>
      <c r="S279" s="75">
        <v>-3.7890000000000001</v>
      </c>
      <c r="T279" s="105">
        <v>-3.637</v>
      </c>
      <c r="U279" s="104">
        <v>17.21</v>
      </c>
      <c r="V279" s="75">
        <v>17.14</v>
      </c>
      <c r="W279" s="75">
        <v>17.11</v>
      </c>
      <c r="X279" s="75">
        <v>-28.38</v>
      </c>
      <c r="Y279" s="75">
        <v>-30.26</v>
      </c>
      <c r="Z279" s="105">
        <v>-30.81</v>
      </c>
      <c r="AA279" s="104">
        <v>3.01</v>
      </c>
      <c r="AB279" s="75">
        <v>3.11</v>
      </c>
      <c r="AC279" s="75">
        <v>3.18</v>
      </c>
      <c r="AD279" s="75">
        <v>4.7320000000000002</v>
      </c>
      <c r="AE279" s="75">
        <v>4.93</v>
      </c>
      <c r="AF279" s="105">
        <v>4.3170000000000002</v>
      </c>
    </row>
    <row r="280" spans="2:32" x14ac:dyDescent="0.3">
      <c r="B280" s="111">
        <v>45.833333333333222</v>
      </c>
      <c r="C280" s="104">
        <v>3.41</v>
      </c>
      <c r="D280" s="75">
        <v>3.52</v>
      </c>
      <c r="E280" s="75">
        <v>3.59</v>
      </c>
      <c r="F280" s="75">
        <v>1.1080000000000001</v>
      </c>
      <c r="G280" s="75">
        <v>1.145</v>
      </c>
      <c r="H280" s="105">
        <v>0.69299999999999995</v>
      </c>
      <c r="I280" s="104">
        <v>3.26</v>
      </c>
      <c r="J280" s="75">
        <v>3.35</v>
      </c>
      <c r="K280" s="75">
        <v>3.43</v>
      </c>
      <c r="L280" s="75">
        <v>3.512</v>
      </c>
      <c r="M280" s="75">
        <v>3.33</v>
      </c>
      <c r="N280" s="105">
        <v>3.1219999999999999</v>
      </c>
      <c r="O280" s="104">
        <v>15.74</v>
      </c>
      <c r="P280" s="75">
        <v>15.65</v>
      </c>
      <c r="Q280" s="75">
        <v>15.7</v>
      </c>
      <c r="R280" s="75">
        <v>-3.5939999999999999</v>
      </c>
      <c r="S280" s="75">
        <v>-3.5310000000000001</v>
      </c>
      <c r="T280" s="105">
        <v>-3.4249999999999998</v>
      </c>
      <c r="U280" s="104">
        <v>17.170000000000002</v>
      </c>
      <c r="V280" s="75">
        <v>17.100000000000001</v>
      </c>
      <c r="W280" s="75">
        <v>17.059999999999999</v>
      </c>
      <c r="X280" s="75">
        <v>-29.19</v>
      </c>
      <c r="Y280" s="75">
        <v>-31.04</v>
      </c>
      <c r="Z280" s="105">
        <v>-31.5</v>
      </c>
      <c r="AA280" s="104">
        <v>3.08</v>
      </c>
      <c r="AB280" s="75">
        <v>3.18</v>
      </c>
      <c r="AC280" s="75">
        <v>3.24</v>
      </c>
      <c r="AD280" s="75">
        <v>4.6050000000000004</v>
      </c>
      <c r="AE280" s="75">
        <v>4.8120000000000003</v>
      </c>
      <c r="AF280" s="105">
        <v>4.3520000000000003</v>
      </c>
    </row>
    <row r="281" spans="2:32" x14ac:dyDescent="0.3">
      <c r="B281" s="111">
        <v>45.999999999999886</v>
      </c>
      <c r="C281" s="104">
        <v>3.49</v>
      </c>
      <c r="D281" s="75">
        <v>3.59</v>
      </c>
      <c r="E281" s="75">
        <v>3.66</v>
      </c>
      <c r="F281" s="75">
        <v>1.133</v>
      </c>
      <c r="G281" s="75">
        <v>0.872</v>
      </c>
      <c r="H281" s="105">
        <v>1.075</v>
      </c>
      <c r="I281" s="104">
        <v>3.33</v>
      </c>
      <c r="J281" s="75">
        <v>3.42</v>
      </c>
      <c r="K281" s="75">
        <v>3.5</v>
      </c>
      <c r="L281" s="75">
        <v>3.2810000000000001</v>
      </c>
      <c r="M281" s="75">
        <v>3.3170000000000002</v>
      </c>
      <c r="N281" s="105">
        <v>3.004</v>
      </c>
      <c r="O281" s="104">
        <v>15.66</v>
      </c>
      <c r="P281" s="75">
        <v>15.57</v>
      </c>
      <c r="Q281" s="75">
        <v>15.62</v>
      </c>
      <c r="R281" s="75">
        <v>-3.419</v>
      </c>
      <c r="S281" s="75">
        <v>-3.343</v>
      </c>
      <c r="T281" s="105">
        <v>-3.3439999999999999</v>
      </c>
      <c r="U281" s="104">
        <v>17.12</v>
      </c>
      <c r="V281" s="75">
        <v>17.059999999999999</v>
      </c>
      <c r="W281" s="75">
        <v>17.02</v>
      </c>
      <c r="X281" s="75">
        <v>-29.97</v>
      </c>
      <c r="Y281" s="75">
        <v>-31.56</v>
      </c>
      <c r="Z281" s="105">
        <v>-32.43</v>
      </c>
      <c r="AA281" s="104">
        <v>3.16</v>
      </c>
      <c r="AB281" s="75">
        <v>3.25</v>
      </c>
      <c r="AC281" s="75">
        <v>3.32</v>
      </c>
      <c r="AD281" s="75">
        <v>4.5869999999999997</v>
      </c>
      <c r="AE281" s="75">
        <v>4.5270000000000001</v>
      </c>
      <c r="AF281" s="105">
        <v>4.7370000000000001</v>
      </c>
    </row>
    <row r="282" spans="2:32" x14ac:dyDescent="0.3">
      <c r="B282" s="111">
        <v>46.166666666666551</v>
      </c>
      <c r="C282" s="104">
        <v>3.55</v>
      </c>
      <c r="D282" s="75">
        <v>3.67</v>
      </c>
      <c r="E282" s="75">
        <v>3.74</v>
      </c>
      <c r="F282" s="75">
        <v>1.046</v>
      </c>
      <c r="G282" s="75">
        <v>1.1579999999999999</v>
      </c>
      <c r="H282" s="105">
        <v>0.99099999999999999</v>
      </c>
      <c r="I282" s="104">
        <v>3.4</v>
      </c>
      <c r="J282" s="75">
        <v>3.5</v>
      </c>
      <c r="K282" s="75">
        <v>3.57</v>
      </c>
      <c r="L282" s="75">
        <v>3.2759999999999998</v>
      </c>
      <c r="M282" s="75">
        <v>2.919</v>
      </c>
      <c r="N282" s="105">
        <v>3.173</v>
      </c>
      <c r="O282" s="104">
        <v>15.59</v>
      </c>
      <c r="P282" s="75">
        <v>15.51</v>
      </c>
      <c r="Q282" s="75">
        <v>15.55</v>
      </c>
      <c r="R282" s="75">
        <v>-3.2240000000000002</v>
      </c>
      <c r="S282" s="75">
        <v>-3.121</v>
      </c>
      <c r="T282" s="105">
        <v>-3.129</v>
      </c>
      <c r="U282" s="104">
        <v>17.09</v>
      </c>
      <c r="V282" s="75">
        <v>17.02</v>
      </c>
      <c r="W282" s="75">
        <v>16.97</v>
      </c>
      <c r="X282" s="75">
        <v>-30.5</v>
      </c>
      <c r="Y282" s="75">
        <v>-31.99</v>
      </c>
      <c r="Z282" s="105">
        <v>-32.9</v>
      </c>
      <c r="AA282" s="104">
        <v>3.23</v>
      </c>
      <c r="AB282" s="75">
        <v>3.32</v>
      </c>
      <c r="AC282" s="75">
        <v>3.39</v>
      </c>
      <c r="AD282" s="75">
        <v>4.4669999999999996</v>
      </c>
      <c r="AE282" s="75">
        <v>4.7969999999999997</v>
      </c>
      <c r="AF282" s="105">
        <v>4.6399999999999997</v>
      </c>
    </row>
    <row r="283" spans="2:32" x14ac:dyDescent="0.3">
      <c r="B283" s="111">
        <v>46.333333333333215</v>
      </c>
      <c r="C283" s="104">
        <v>3.62</v>
      </c>
      <c r="D283" s="75">
        <v>3.74</v>
      </c>
      <c r="E283" s="75">
        <v>3.8</v>
      </c>
      <c r="F283" s="75">
        <v>1.075</v>
      </c>
      <c r="G283" s="75">
        <v>1.137</v>
      </c>
      <c r="H283" s="105">
        <v>1.08</v>
      </c>
      <c r="I283" s="104">
        <v>3.47</v>
      </c>
      <c r="J283" s="75">
        <v>3.57</v>
      </c>
      <c r="K283" s="75">
        <v>3.64</v>
      </c>
      <c r="L283" s="75">
        <v>3.1269999999999998</v>
      </c>
      <c r="M283" s="75">
        <v>3.339</v>
      </c>
      <c r="N283" s="105">
        <v>3.097</v>
      </c>
      <c r="O283" s="104">
        <v>15.52</v>
      </c>
      <c r="P283" s="75">
        <v>15.44</v>
      </c>
      <c r="Q283" s="75">
        <v>15.48</v>
      </c>
      <c r="R283" s="75">
        <v>-3.0270000000000001</v>
      </c>
      <c r="S283" s="75">
        <v>-3.1709999999999998</v>
      </c>
      <c r="T283" s="105">
        <v>-3.0590000000000002</v>
      </c>
      <c r="U283" s="104">
        <v>17.05</v>
      </c>
      <c r="V283" s="75">
        <v>16.98</v>
      </c>
      <c r="W283" s="75">
        <v>16.940000000000001</v>
      </c>
      <c r="X283" s="75">
        <v>-30.95</v>
      </c>
      <c r="Y283" s="75">
        <v>-32.56</v>
      </c>
      <c r="Z283" s="105">
        <v>-33.22</v>
      </c>
      <c r="AA283" s="104">
        <v>3.29</v>
      </c>
      <c r="AB283" s="75">
        <v>3.4</v>
      </c>
      <c r="AC283" s="75">
        <v>3.46</v>
      </c>
      <c r="AD283" s="75">
        <v>4.5309999999999997</v>
      </c>
      <c r="AE283" s="75">
        <v>4.79</v>
      </c>
      <c r="AF283" s="105">
        <v>4.7380000000000004</v>
      </c>
    </row>
    <row r="284" spans="2:32" x14ac:dyDescent="0.3">
      <c r="B284" s="111">
        <v>46.499999999999879</v>
      </c>
      <c r="C284" s="104">
        <v>3.7</v>
      </c>
      <c r="D284" s="75">
        <v>3.8</v>
      </c>
      <c r="E284" s="75">
        <v>3.88</v>
      </c>
      <c r="F284" s="75">
        <v>1.119</v>
      </c>
      <c r="G284" s="75">
        <v>1.018</v>
      </c>
      <c r="H284" s="105">
        <v>1.0349999999999999</v>
      </c>
      <c r="I284" s="104">
        <v>3.55</v>
      </c>
      <c r="J284" s="75">
        <v>3.64</v>
      </c>
      <c r="K284" s="75">
        <v>3.71</v>
      </c>
      <c r="L284" s="75">
        <v>3.1429999999999998</v>
      </c>
      <c r="M284" s="75">
        <v>3.214</v>
      </c>
      <c r="N284" s="105">
        <v>3.2480000000000002</v>
      </c>
      <c r="O284" s="104">
        <v>15.45</v>
      </c>
      <c r="P284" s="75">
        <v>15.36</v>
      </c>
      <c r="Q284" s="75">
        <v>15.4</v>
      </c>
      <c r="R284" s="75">
        <v>-3.0449999999999999</v>
      </c>
      <c r="S284" s="75">
        <v>-3.2570000000000001</v>
      </c>
      <c r="T284" s="105">
        <v>-2.8860000000000001</v>
      </c>
      <c r="U284" s="104">
        <v>17</v>
      </c>
      <c r="V284" s="75">
        <v>16.93</v>
      </c>
      <c r="W284" s="75">
        <v>16.88</v>
      </c>
      <c r="X284" s="75">
        <v>-31.63</v>
      </c>
      <c r="Y284" s="75">
        <v>-33.31</v>
      </c>
      <c r="Z284" s="105">
        <v>-33.630000000000003</v>
      </c>
      <c r="AA284" s="104">
        <v>3.37</v>
      </c>
      <c r="AB284" s="75">
        <v>3.46</v>
      </c>
      <c r="AC284" s="75">
        <v>3.53</v>
      </c>
      <c r="AD284" s="75">
        <v>4.53</v>
      </c>
      <c r="AE284" s="75">
        <v>4.6539999999999999</v>
      </c>
      <c r="AF284" s="105">
        <v>4.6840000000000002</v>
      </c>
    </row>
    <row r="285" spans="2:32" x14ac:dyDescent="0.3">
      <c r="B285" s="111">
        <v>46.666666666666544</v>
      </c>
      <c r="C285" s="104">
        <v>3.77</v>
      </c>
      <c r="D285" s="75">
        <v>3.87</v>
      </c>
      <c r="E285" s="75">
        <v>3.95</v>
      </c>
      <c r="F285" s="75">
        <v>0.998</v>
      </c>
      <c r="G285" s="75">
        <v>0.99299999999999999</v>
      </c>
      <c r="H285" s="105">
        <v>1.012</v>
      </c>
      <c r="I285" s="104">
        <v>3.62</v>
      </c>
      <c r="J285" s="75">
        <v>3.71</v>
      </c>
      <c r="K285" s="75">
        <v>3.79</v>
      </c>
      <c r="L285" s="75">
        <v>3.097</v>
      </c>
      <c r="M285" s="75">
        <v>3.1160000000000001</v>
      </c>
      <c r="N285" s="105">
        <v>3.0910000000000002</v>
      </c>
      <c r="O285" s="104">
        <v>15.38</v>
      </c>
      <c r="P285" s="75">
        <v>15.28</v>
      </c>
      <c r="Q285" s="75">
        <v>15.33</v>
      </c>
      <c r="R285" s="75">
        <v>-3.1749999999999998</v>
      </c>
      <c r="S285" s="75">
        <v>-3.1230000000000002</v>
      </c>
      <c r="T285" s="105">
        <v>-3.0059999999999998</v>
      </c>
      <c r="U285" s="104">
        <v>16.95</v>
      </c>
      <c r="V285" s="75">
        <v>16.87</v>
      </c>
      <c r="W285" s="75">
        <v>16.829999999999998</v>
      </c>
      <c r="X285" s="75">
        <v>-32.270000000000003</v>
      </c>
      <c r="Y285" s="75">
        <v>-33.64</v>
      </c>
      <c r="Z285" s="105">
        <v>-34.1</v>
      </c>
      <c r="AA285" s="104">
        <v>3.44</v>
      </c>
      <c r="AB285" s="75">
        <v>3.53</v>
      </c>
      <c r="AC285" s="75">
        <v>3.6</v>
      </c>
      <c r="AD285" s="75">
        <v>4.4109999999999996</v>
      </c>
      <c r="AE285" s="75">
        <v>4.6390000000000002</v>
      </c>
      <c r="AF285" s="105">
        <v>4.7169999999999996</v>
      </c>
    </row>
    <row r="286" spans="2:32" x14ac:dyDescent="0.3">
      <c r="B286" s="111">
        <v>46.833333333333208</v>
      </c>
      <c r="C286" s="104">
        <v>3.84</v>
      </c>
      <c r="D286" s="75">
        <v>3.94</v>
      </c>
      <c r="E286" s="75">
        <v>4.03</v>
      </c>
      <c r="F286" s="75">
        <v>1.1930000000000001</v>
      </c>
      <c r="G286" s="75">
        <v>1.113</v>
      </c>
      <c r="H286" s="105">
        <v>1.2410000000000001</v>
      </c>
      <c r="I286" s="104">
        <v>3.69</v>
      </c>
      <c r="J286" s="75">
        <v>3.78</v>
      </c>
      <c r="K286" s="75">
        <v>3.86</v>
      </c>
      <c r="L286" s="75">
        <v>2.9849999999999999</v>
      </c>
      <c r="M286" s="75">
        <v>3.07</v>
      </c>
      <c r="N286" s="105">
        <v>3.0550000000000002</v>
      </c>
      <c r="O286" s="104">
        <v>15.31</v>
      </c>
      <c r="P286" s="75">
        <v>15.2</v>
      </c>
      <c r="Q286" s="75">
        <v>15.26</v>
      </c>
      <c r="R286" s="75">
        <v>-3.2589999999999999</v>
      </c>
      <c r="S286" s="75">
        <v>-3.274</v>
      </c>
      <c r="T286" s="105">
        <v>-3.1080000000000001</v>
      </c>
      <c r="U286" s="104">
        <v>16.89</v>
      </c>
      <c r="V286" s="75">
        <v>16.809999999999999</v>
      </c>
      <c r="W286" s="75">
        <v>16.760000000000002</v>
      </c>
      <c r="X286" s="75">
        <v>-32.93</v>
      </c>
      <c r="Y286" s="75">
        <v>-33.99</v>
      </c>
      <c r="Z286" s="105">
        <v>-34.619999999999997</v>
      </c>
      <c r="AA286" s="104">
        <v>3.52</v>
      </c>
      <c r="AB286" s="75">
        <v>3.61</v>
      </c>
      <c r="AC286" s="75">
        <v>3.68</v>
      </c>
      <c r="AD286" s="75">
        <v>4.6340000000000003</v>
      </c>
      <c r="AE286" s="75">
        <v>4.7889999999999997</v>
      </c>
      <c r="AF286" s="105">
        <v>4.9749999999999996</v>
      </c>
    </row>
    <row r="287" spans="2:32" x14ac:dyDescent="0.3">
      <c r="B287" s="111">
        <v>46.999999999999872</v>
      </c>
      <c r="C287" s="104">
        <v>3.91</v>
      </c>
      <c r="D287" s="75">
        <v>4.0199999999999996</v>
      </c>
      <c r="E287" s="75">
        <v>4.0999999999999996</v>
      </c>
      <c r="F287" s="75">
        <v>1.095</v>
      </c>
      <c r="G287" s="75">
        <v>1.236</v>
      </c>
      <c r="H287" s="105">
        <v>1.1679999999999999</v>
      </c>
      <c r="I287" s="104">
        <v>3.76</v>
      </c>
      <c r="J287" s="75">
        <v>3.86</v>
      </c>
      <c r="K287" s="75">
        <v>3.93</v>
      </c>
      <c r="L287" s="75">
        <v>3.2959999999999998</v>
      </c>
      <c r="M287" s="75">
        <v>3.2269999999999999</v>
      </c>
      <c r="N287" s="105">
        <v>3.3780000000000001</v>
      </c>
      <c r="O287" s="104">
        <v>15.23</v>
      </c>
      <c r="P287" s="75">
        <v>15.13</v>
      </c>
      <c r="Q287" s="75">
        <v>15.19</v>
      </c>
      <c r="R287" s="75">
        <v>-2.9750000000000001</v>
      </c>
      <c r="S287" s="75">
        <v>-3.0590000000000002</v>
      </c>
      <c r="T287" s="105">
        <v>-2.9529999999999998</v>
      </c>
      <c r="U287" s="104">
        <v>16.84</v>
      </c>
      <c r="V287" s="75">
        <v>16.739999999999998</v>
      </c>
      <c r="W287" s="75">
        <v>16.690000000000001</v>
      </c>
      <c r="X287" s="75">
        <v>-33.1</v>
      </c>
      <c r="Y287" s="75">
        <v>-34.36</v>
      </c>
      <c r="Z287" s="105">
        <v>-34.68</v>
      </c>
      <c r="AA287" s="104">
        <v>3.59</v>
      </c>
      <c r="AB287" s="75">
        <v>3.68</v>
      </c>
      <c r="AC287" s="75">
        <v>3.74</v>
      </c>
      <c r="AD287" s="75">
        <v>4.47</v>
      </c>
      <c r="AE287" s="75">
        <v>4.9059999999999997</v>
      </c>
      <c r="AF287" s="105">
        <v>4.883</v>
      </c>
    </row>
    <row r="288" spans="2:32" x14ac:dyDescent="0.3">
      <c r="B288" s="111">
        <v>47.166666666666536</v>
      </c>
      <c r="C288" s="104">
        <v>3.97</v>
      </c>
      <c r="D288" s="75">
        <v>4.0999999999999996</v>
      </c>
      <c r="E288" s="75">
        <v>4.16</v>
      </c>
      <c r="F288" s="75">
        <v>1.113</v>
      </c>
      <c r="G288" s="75">
        <v>1.2410000000000001</v>
      </c>
      <c r="H288" s="105">
        <v>1.0149999999999999</v>
      </c>
      <c r="I288" s="104">
        <v>3.82</v>
      </c>
      <c r="J288" s="75">
        <v>3.94</v>
      </c>
      <c r="K288" s="75">
        <v>4</v>
      </c>
      <c r="L288" s="75">
        <v>3.0009999999999999</v>
      </c>
      <c r="M288" s="75">
        <v>3.415</v>
      </c>
      <c r="N288" s="105">
        <v>3.2240000000000002</v>
      </c>
      <c r="O288" s="104">
        <v>15.15</v>
      </c>
      <c r="P288" s="75">
        <v>15.07</v>
      </c>
      <c r="Q288" s="75">
        <v>15.11</v>
      </c>
      <c r="R288" s="75">
        <v>-3.085</v>
      </c>
      <c r="S288" s="75">
        <v>-2.9830000000000001</v>
      </c>
      <c r="T288" s="105">
        <v>-2.9780000000000002</v>
      </c>
      <c r="U288" s="104">
        <v>16.77</v>
      </c>
      <c r="V288" s="75">
        <v>16.670000000000002</v>
      </c>
      <c r="W288" s="75">
        <v>16.600000000000001</v>
      </c>
      <c r="X288" s="75">
        <v>-33.770000000000003</v>
      </c>
      <c r="Y288" s="75">
        <v>-34.28</v>
      </c>
      <c r="Z288" s="105">
        <v>-34.79</v>
      </c>
      <c r="AA288" s="104">
        <v>3.65</v>
      </c>
      <c r="AB288" s="75">
        <v>3.76</v>
      </c>
      <c r="AC288" s="75">
        <v>3.81</v>
      </c>
      <c r="AD288" s="75">
        <v>4.5339999999999998</v>
      </c>
      <c r="AE288" s="75">
        <v>4.8609999999999998</v>
      </c>
      <c r="AF288" s="105">
        <v>4.742</v>
      </c>
    </row>
    <row r="289" spans="2:32" x14ac:dyDescent="0.3">
      <c r="B289" s="111">
        <v>47.333333333333201</v>
      </c>
      <c r="C289" s="104">
        <v>4.05</v>
      </c>
      <c r="D289" s="75">
        <v>4.16</v>
      </c>
      <c r="E289" s="75">
        <v>4.24</v>
      </c>
      <c r="F289" s="75">
        <v>1.198</v>
      </c>
      <c r="G289" s="75">
        <v>0.96199999999999997</v>
      </c>
      <c r="H289" s="105">
        <v>1.171</v>
      </c>
      <c r="I289" s="104">
        <v>3.9</v>
      </c>
      <c r="J289" s="75">
        <v>4</v>
      </c>
      <c r="K289" s="75">
        <v>4.08</v>
      </c>
      <c r="L289" s="75">
        <v>3.0720000000000001</v>
      </c>
      <c r="M289" s="75">
        <v>3.218</v>
      </c>
      <c r="N289" s="105">
        <v>3.077</v>
      </c>
      <c r="O289" s="104">
        <v>15.09</v>
      </c>
      <c r="P289" s="75">
        <v>15</v>
      </c>
      <c r="Q289" s="75">
        <v>15.04</v>
      </c>
      <c r="R289" s="75">
        <v>-3.0150000000000001</v>
      </c>
      <c r="S289" s="75">
        <v>-2.9449999999999998</v>
      </c>
      <c r="T289" s="105">
        <v>-2.84</v>
      </c>
      <c r="U289" s="104">
        <v>16.690000000000001</v>
      </c>
      <c r="V289" s="75">
        <v>16.59</v>
      </c>
      <c r="W289" s="75">
        <v>16.5</v>
      </c>
      <c r="X289" s="75">
        <v>-33.94</v>
      </c>
      <c r="Y289" s="75">
        <v>-34.06</v>
      </c>
      <c r="Z289" s="105">
        <v>-34.520000000000003</v>
      </c>
      <c r="AA289" s="104">
        <v>3.73</v>
      </c>
      <c r="AB289" s="75">
        <v>3.82</v>
      </c>
      <c r="AC289" s="75">
        <v>3.89</v>
      </c>
      <c r="AD289" s="75">
        <v>4.6120000000000001</v>
      </c>
      <c r="AE289" s="75">
        <v>4.6630000000000003</v>
      </c>
      <c r="AF289" s="105">
        <v>4.8730000000000002</v>
      </c>
    </row>
    <row r="290" spans="2:32" x14ac:dyDescent="0.3">
      <c r="B290" s="111">
        <v>47.499999999999865</v>
      </c>
      <c r="C290" s="104">
        <v>4.12</v>
      </c>
      <c r="D290" s="75">
        <v>4.22</v>
      </c>
      <c r="E290" s="75">
        <v>4.3</v>
      </c>
      <c r="F290" s="75">
        <v>1.2</v>
      </c>
      <c r="G290" s="75">
        <v>1.1080000000000001</v>
      </c>
      <c r="H290" s="105">
        <v>1.1779999999999999</v>
      </c>
      <c r="I290" s="104">
        <v>3.97</v>
      </c>
      <c r="J290" s="75">
        <v>4.07</v>
      </c>
      <c r="K290" s="75">
        <v>4.1399999999999997</v>
      </c>
      <c r="L290" s="75">
        <v>3.0880000000000001</v>
      </c>
      <c r="M290" s="75">
        <v>2.923</v>
      </c>
      <c r="N290" s="105">
        <v>3.2050000000000001</v>
      </c>
      <c r="O290" s="104">
        <v>15.01</v>
      </c>
      <c r="P290" s="75">
        <v>14.93</v>
      </c>
      <c r="Q290" s="75">
        <v>14.96</v>
      </c>
      <c r="R290" s="75">
        <v>-3.0150000000000001</v>
      </c>
      <c r="S290" s="75">
        <v>-2.879</v>
      </c>
      <c r="T290" s="105">
        <v>-3.056</v>
      </c>
      <c r="U290" s="104">
        <v>16.600000000000001</v>
      </c>
      <c r="V290" s="75">
        <v>16.489999999999998</v>
      </c>
      <c r="W290" s="75">
        <v>16.39</v>
      </c>
      <c r="X290" s="75">
        <v>-33.94</v>
      </c>
      <c r="Y290" s="75">
        <v>-33.549999999999997</v>
      </c>
      <c r="Z290" s="105">
        <v>-34.229999999999997</v>
      </c>
      <c r="AA290" s="104">
        <v>3.79</v>
      </c>
      <c r="AB290" s="75">
        <v>3.89</v>
      </c>
      <c r="AC290" s="75">
        <v>3.96</v>
      </c>
      <c r="AD290" s="75">
        <v>4.617</v>
      </c>
      <c r="AE290" s="75">
        <v>4.78</v>
      </c>
      <c r="AF290" s="105">
        <v>4.9029999999999996</v>
      </c>
    </row>
    <row r="291" spans="2:32" x14ac:dyDescent="0.3">
      <c r="B291" s="111">
        <v>47.666666666666529</v>
      </c>
      <c r="C291" s="104">
        <v>4.18</v>
      </c>
      <c r="D291" s="75">
        <v>4.3</v>
      </c>
      <c r="E291" s="75">
        <v>4.38</v>
      </c>
      <c r="F291" s="75">
        <v>1.157</v>
      </c>
      <c r="G291" s="75">
        <v>1.1000000000000001</v>
      </c>
      <c r="H291" s="105">
        <v>1.3660000000000001</v>
      </c>
      <c r="I291" s="104">
        <v>4.03</v>
      </c>
      <c r="J291" s="75">
        <v>4.1399999999999997</v>
      </c>
      <c r="K291" s="75">
        <v>4.22</v>
      </c>
      <c r="L291" s="75">
        <v>3.1320000000000001</v>
      </c>
      <c r="M291" s="75">
        <v>3.15</v>
      </c>
      <c r="N291" s="105">
        <v>3.24</v>
      </c>
      <c r="O291" s="104">
        <v>14.93</v>
      </c>
      <c r="P291" s="75">
        <v>14.86</v>
      </c>
      <c r="Q291" s="75">
        <v>14.89</v>
      </c>
      <c r="R291" s="75">
        <v>-3.008</v>
      </c>
      <c r="S291" s="75">
        <v>-2.94</v>
      </c>
      <c r="T291" s="105">
        <v>-2.99</v>
      </c>
      <c r="U291" s="104">
        <v>16.5</v>
      </c>
      <c r="V291" s="75">
        <v>16.38</v>
      </c>
      <c r="W291" s="75">
        <v>16.27</v>
      </c>
      <c r="X291" s="75">
        <v>-33.630000000000003</v>
      </c>
      <c r="Y291" s="75">
        <v>-33.090000000000003</v>
      </c>
      <c r="Z291" s="105">
        <v>-33.24</v>
      </c>
      <c r="AA291" s="104">
        <v>3.85</v>
      </c>
      <c r="AB291" s="75">
        <v>3.96</v>
      </c>
      <c r="AC291" s="75">
        <v>4.03</v>
      </c>
      <c r="AD291" s="75">
        <v>4.5570000000000004</v>
      </c>
      <c r="AE291" s="75">
        <v>4.7549999999999999</v>
      </c>
      <c r="AF291" s="105">
        <v>5.125</v>
      </c>
    </row>
    <row r="292" spans="2:32" x14ac:dyDescent="0.3">
      <c r="B292" s="111">
        <v>47.833333333333194</v>
      </c>
      <c r="C292" s="104">
        <v>4.25</v>
      </c>
      <c r="D292" s="75">
        <v>4.3600000000000003</v>
      </c>
      <c r="E292" s="75">
        <v>4.47</v>
      </c>
      <c r="F292" s="75">
        <v>1.2509999999999999</v>
      </c>
      <c r="G292" s="75">
        <v>1.016</v>
      </c>
      <c r="H292" s="105">
        <v>1.677</v>
      </c>
      <c r="I292" s="104">
        <v>4.0999999999999996</v>
      </c>
      <c r="J292" s="75">
        <v>4.2</v>
      </c>
      <c r="K292" s="75">
        <v>4.3099999999999996</v>
      </c>
      <c r="L292" s="75">
        <v>3.173</v>
      </c>
      <c r="M292" s="75">
        <v>3.0409999999999999</v>
      </c>
      <c r="N292" s="105">
        <v>3.3530000000000002</v>
      </c>
      <c r="O292" s="104">
        <v>14.87</v>
      </c>
      <c r="P292" s="75">
        <v>14.79</v>
      </c>
      <c r="Q292" s="75">
        <v>14.82</v>
      </c>
      <c r="R292" s="75">
        <v>-2.6850000000000001</v>
      </c>
      <c r="S292" s="75">
        <v>-3.069</v>
      </c>
      <c r="T292" s="105">
        <v>-2.8719999999999999</v>
      </c>
      <c r="U292" s="104">
        <v>16.399999999999999</v>
      </c>
      <c r="V292" s="75">
        <v>16.27</v>
      </c>
      <c r="W292" s="75">
        <v>16.149999999999999</v>
      </c>
      <c r="X292" s="75">
        <v>-32.700000000000003</v>
      </c>
      <c r="Y292" s="75">
        <v>-32.11</v>
      </c>
      <c r="Z292" s="105">
        <v>-31.69</v>
      </c>
      <c r="AA292" s="104">
        <v>3.92</v>
      </c>
      <c r="AB292" s="75">
        <v>4.0199999999999996</v>
      </c>
      <c r="AC292" s="75">
        <v>4.12</v>
      </c>
      <c r="AD292" s="75">
        <v>4.6550000000000002</v>
      </c>
      <c r="AE292" s="75">
        <v>4.6749999999999998</v>
      </c>
      <c r="AF292" s="105">
        <v>5.4820000000000002</v>
      </c>
    </row>
    <row r="293" spans="2:32" x14ac:dyDescent="0.3">
      <c r="B293" s="111">
        <v>47.999999999999858</v>
      </c>
      <c r="C293" s="104">
        <v>4.32</v>
      </c>
      <c r="D293" s="75">
        <v>4.43</v>
      </c>
      <c r="E293" s="75">
        <v>4.55</v>
      </c>
      <c r="F293" s="75">
        <v>1.2210000000000001</v>
      </c>
      <c r="G293" s="75">
        <v>1.37</v>
      </c>
      <c r="H293" s="105">
        <v>1.4950000000000001</v>
      </c>
      <c r="I293" s="104">
        <v>4.18</v>
      </c>
      <c r="J293" s="75">
        <v>4.28</v>
      </c>
      <c r="K293" s="75">
        <v>4.3899999999999997</v>
      </c>
      <c r="L293" s="75">
        <v>3.2010000000000001</v>
      </c>
      <c r="M293" s="75">
        <v>2.9279999999999999</v>
      </c>
      <c r="N293" s="105">
        <v>3.7370000000000001</v>
      </c>
      <c r="O293" s="104">
        <v>14.79</v>
      </c>
      <c r="P293" s="75">
        <v>14.71</v>
      </c>
      <c r="Q293" s="75">
        <v>14.74</v>
      </c>
      <c r="R293" s="75">
        <v>-3.0139999999999998</v>
      </c>
      <c r="S293" s="75">
        <v>-3.3580000000000001</v>
      </c>
      <c r="T293" s="105">
        <v>-3.0129999999999999</v>
      </c>
      <c r="U293" s="104">
        <v>16.28</v>
      </c>
      <c r="V293" s="75">
        <v>16.14</v>
      </c>
      <c r="W293" s="75">
        <v>16.02</v>
      </c>
      <c r="X293" s="75">
        <v>-31.73</v>
      </c>
      <c r="Y293" s="75">
        <v>-30.91</v>
      </c>
      <c r="Z293" s="105">
        <v>-30.05</v>
      </c>
      <c r="AA293" s="104">
        <v>4</v>
      </c>
      <c r="AB293" s="75">
        <v>4.0999999999999996</v>
      </c>
      <c r="AC293" s="75">
        <v>4.2</v>
      </c>
      <c r="AD293" s="75">
        <v>4.6959999999999997</v>
      </c>
      <c r="AE293" s="75">
        <v>5.032</v>
      </c>
      <c r="AF293" s="105">
        <v>5.3410000000000002</v>
      </c>
    </row>
    <row r="294" spans="2:32" x14ac:dyDescent="0.3">
      <c r="B294" s="111">
        <v>48.166666666666522</v>
      </c>
      <c r="C294" s="104">
        <v>4.41</v>
      </c>
      <c r="D294" s="75">
        <v>4.5199999999999996</v>
      </c>
      <c r="E294" s="75">
        <v>4.63</v>
      </c>
      <c r="F294" s="75">
        <v>1.9470000000000001</v>
      </c>
      <c r="G294" s="75">
        <v>1.5129999999999999</v>
      </c>
      <c r="H294" s="105">
        <v>1.542</v>
      </c>
      <c r="I294" s="104">
        <v>4.2699999999999996</v>
      </c>
      <c r="J294" s="75">
        <v>4.37</v>
      </c>
      <c r="K294" s="75">
        <v>4.47</v>
      </c>
      <c r="L294" s="75">
        <v>3.2519999999999998</v>
      </c>
      <c r="M294" s="75">
        <v>3.26</v>
      </c>
      <c r="N294" s="105">
        <v>3.5830000000000002</v>
      </c>
      <c r="O294" s="104">
        <v>14.71</v>
      </c>
      <c r="P294" s="75">
        <v>14.62</v>
      </c>
      <c r="Q294" s="75">
        <v>14.64</v>
      </c>
      <c r="R294" s="75">
        <v>-3.2029999999999998</v>
      </c>
      <c r="S294" s="75">
        <v>-3.3220000000000001</v>
      </c>
      <c r="T294" s="105">
        <v>-3.3159999999999998</v>
      </c>
      <c r="U294" s="104">
        <v>16.149999999999999</v>
      </c>
      <c r="V294" s="75">
        <v>15.99</v>
      </c>
      <c r="W294" s="75">
        <v>15.87</v>
      </c>
      <c r="X294" s="75">
        <v>-30.33</v>
      </c>
      <c r="Y294" s="75">
        <v>-29.21</v>
      </c>
      <c r="Z294" s="105">
        <v>-28.47</v>
      </c>
      <c r="AA294" s="104">
        <v>4.09</v>
      </c>
      <c r="AB294" s="75">
        <v>4.1900000000000004</v>
      </c>
      <c r="AC294" s="75">
        <v>4.28</v>
      </c>
      <c r="AD294" s="75">
        <v>5.4</v>
      </c>
      <c r="AE294" s="75">
        <v>5.2359999999999998</v>
      </c>
      <c r="AF294" s="105">
        <v>5.3860000000000001</v>
      </c>
    </row>
    <row r="295" spans="2:32" x14ac:dyDescent="0.3">
      <c r="B295" s="111">
        <v>48.333333333333186</v>
      </c>
      <c r="C295" s="104">
        <v>4.5</v>
      </c>
      <c r="D295" s="75">
        <v>4.5999999999999996</v>
      </c>
      <c r="E295" s="75">
        <v>4.6900000000000004</v>
      </c>
      <c r="F295" s="75">
        <v>1.883</v>
      </c>
      <c r="G295" s="75">
        <v>1.504</v>
      </c>
      <c r="H295" s="105">
        <v>1.2609999999999999</v>
      </c>
      <c r="I295" s="104">
        <v>4.3499999999999996</v>
      </c>
      <c r="J295" s="75">
        <v>4.4400000000000004</v>
      </c>
      <c r="K295" s="75">
        <v>4.54</v>
      </c>
      <c r="L295" s="75">
        <v>3.835</v>
      </c>
      <c r="M295" s="75">
        <v>3.6440000000000001</v>
      </c>
      <c r="N295" s="105">
        <v>3.4220000000000002</v>
      </c>
      <c r="O295" s="104">
        <v>14.63</v>
      </c>
      <c r="P295" s="75">
        <v>14.54</v>
      </c>
      <c r="Q295" s="75">
        <v>14.56</v>
      </c>
      <c r="R295" s="75">
        <v>-3.3010000000000002</v>
      </c>
      <c r="S295" s="75">
        <v>-2.9209999999999998</v>
      </c>
      <c r="T295" s="105">
        <v>-3.2469999999999999</v>
      </c>
      <c r="U295" s="104">
        <v>16.010000000000002</v>
      </c>
      <c r="V295" s="75">
        <v>15.85</v>
      </c>
      <c r="W295" s="75">
        <v>15.72</v>
      </c>
      <c r="X295" s="75">
        <v>-28.72</v>
      </c>
      <c r="Y295" s="75">
        <v>-26.792999999999999</v>
      </c>
      <c r="Z295" s="105">
        <v>-26.03</v>
      </c>
      <c r="AA295" s="104">
        <v>4.17</v>
      </c>
      <c r="AB295" s="75">
        <v>4.26</v>
      </c>
      <c r="AC295" s="75">
        <v>4.34</v>
      </c>
      <c r="AD295" s="75">
        <v>5.3780000000000001</v>
      </c>
      <c r="AE295" s="75">
        <v>5.2290000000000001</v>
      </c>
      <c r="AF295" s="105">
        <v>5.1239999999999997</v>
      </c>
    </row>
    <row r="296" spans="2:32" x14ac:dyDescent="0.3">
      <c r="B296" s="111">
        <v>48.499999999999851</v>
      </c>
      <c r="C296" s="104">
        <v>4.58</v>
      </c>
      <c r="D296" s="75">
        <v>4.68</v>
      </c>
      <c r="E296" s="75">
        <v>4.76</v>
      </c>
      <c r="F296" s="75">
        <v>1.756</v>
      </c>
      <c r="G296" s="75">
        <v>1.4530000000000001</v>
      </c>
      <c r="H296" s="105">
        <v>1.2829999999999999</v>
      </c>
      <c r="I296" s="104">
        <v>4.43</v>
      </c>
      <c r="J296" s="75">
        <v>4.5199999999999996</v>
      </c>
      <c r="K296" s="75">
        <v>4.6100000000000003</v>
      </c>
      <c r="L296" s="75">
        <v>3.7440000000000002</v>
      </c>
      <c r="M296" s="75">
        <v>3.4020000000000001</v>
      </c>
      <c r="N296" s="105">
        <v>3.1280000000000001</v>
      </c>
      <c r="O296" s="104">
        <v>14.54</v>
      </c>
      <c r="P296" s="75">
        <v>14.46</v>
      </c>
      <c r="Q296" s="75">
        <v>14.48</v>
      </c>
      <c r="R296" s="75">
        <v>-2.9750000000000001</v>
      </c>
      <c r="S296" s="75">
        <v>-3.1560000000000001</v>
      </c>
      <c r="T296" s="105">
        <v>-3.012</v>
      </c>
      <c r="U296" s="104">
        <v>15.86</v>
      </c>
      <c r="V296" s="75">
        <v>15.7</v>
      </c>
      <c r="W296" s="75">
        <v>15.57</v>
      </c>
      <c r="X296" s="75">
        <v>-26.4</v>
      </c>
      <c r="Y296" s="75">
        <v>-24.376999999999999</v>
      </c>
      <c r="Z296" s="105">
        <v>-23.52</v>
      </c>
      <c r="AA296" s="104">
        <v>4.25</v>
      </c>
      <c r="AB296" s="75">
        <v>4.34</v>
      </c>
      <c r="AC296" s="75">
        <v>4.42</v>
      </c>
      <c r="AD296" s="75">
        <v>5.27</v>
      </c>
      <c r="AE296" s="75">
        <v>5.1719999999999997</v>
      </c>
      <c r="AF296" s="105">
        <v>5.117</v>
      </c>
    </row>
    <row r="297" spans="2:32" x14ac:dyDescent="0.3">
      <c r="B297" s="111">
        <v>48.666666666666515</v>
      </c>
      <c r="C297" s="104">
        <v>4.6500000000000004</v>
      </c>
      <c r="D297" s="75">
        <v>4.74</v>
      </c>
      <c r="E297" s="75">
        <v>4.83</v>
      </c>
      <c r="F297" s="75">
        <v>1.512</v>
      </c>
      <c r="G297" s="75">
        <v>1.4330000000000001</v>
      </c>
      <c r="H297" s="105">
        <v>1.3149999999999999</v>
      </c>
      <c r="I297" s="104">
        <v>4.51</v>
      </c>
      <c r="J297" s="75">
        <v>4.59</v>
      </c>
      <c r="K297" s="75">
        <v>4.68</v>
      </c>
      <c r="L297" s="75">
        <v>3.6419999999999999</v>
      </c>
      <c r="M297" s="75">
        <v>3.2770000000000001</v>
      </c>
      <c r="N297" s="105">
        <v>3.1070000000000002</v>
      </c>
      <c r="O297" s="104">
        <v>14.46</v>
      </c>
      <c r="P297" s="75">
        <v>14.39</v>
      </c>
      <c r="Q297" s="75">
        <v>14.41</v>
      </c>
      <c r="R297" s="75">
        <v>-3.222</v>
      </c>
      <c r="S297" s="75">
        <v>-3.077</v>
      </c>
      <c r="T297" s="105">
        <v>-3.0489999999999999</v>
      </c>
      <c r="U297" s="104">
        <v>15.71</v>
      </c>
      <c r="V297" s="75">
        <v>15.53</v>
      </c>
      <c r="W297" s="75">
        <v>15.4</v>
      </c>
      <c r="X297" s="75">
        <v>-24.07</v>
      </c>
      <c r="Y297" s="75">
        <v>-21.795999999999999</v>
      </c>
      <c r="Z297" s="105">
        <v>-21.16</v>
      </c>
      <c r="AA297" s="104">
        <v>4.33</v>
      </c>
      <c r="AB297" s="75">
        <v>4.41</v>
      </c>
      <c r="AC297" s="75">
        <v>4.49</v>
      </c>
      <c r="AD297" s="75">
        <v>5.0380000000000003</v>
      </c>
      <c r="AE297" s="75">
        <v>5.1909999999999998</v>
      </c>
      <c r="AF297" s="105">
        <v>5.16</v>
      </c>
    </row>
    <row r="298" spans="2:32" x14ac:dyDescent="0.3">
      <c r="B298" s="111">
        <v>48.833333333333179</v>
      </c>
      <c r="C298" s="104">
        <v>4.7300000000000004</v>
      </c>
      <c r="D298" s="75">
        <v>4.8099999999999996</v>
      </c>
      <c r="E298" s="75">
        <v>4.9000000000000004</v>
      </c>
      <c r="F298" s="75">
        <v>1.5620000000000001</v>
      </c>
      <c r="G298" s="75">
        <v>1.3660000000000001</v>
      </c>
      <c r="H298" s="105">
        <v>1.3959999999999999</v>
      </c>
      <c r="I298" s="104">
        <v>4.59</v>
      </c>
      <c r="J298" s="75">
        <v>4.66</v>
      </c>
      <c r="K298" s="75">
        <v>4.76</v>
      </c>
      <c r="L298" s="75">
        <v>3.1949999999999998</v>
      </c>
      <c r="M298" s="75">
        <v>3.2050000000000001</v>
      </c>
      <c r="N298" s="105">
        <v>3.1819999999999999</v>
      </c>
      <c r="O298" s="104">
        <v>14.39</v>
      </c>
      <c r="P298" s="75">
        <v>14.31</v>
      </c>
      <c r="Q298" s="75">
        <v>14.33</v>
      </c>
      <c r="R298" s="75">
        <v>-3.0030000000000001</v>
      </c>
      <c r="S298" s="75">
        <v>-2.9750000000000001</v>
      </c>
      <c r="T298" s="105">
        <v>-2.839</v>
      </c>
      <c r="U298" s="104">
        <v>15.55</v>
      </c>
      <c r="V298" s="75">
        <v>15.36</v>
      </c>
      <c r="W298" s="75">
        <v>15.22</v>
      </c>
      <c r="X298" s="75">
        <v>-21.93</v>
      </c>
      <c r="Y298" s="75">
        <v>-18.89</v>
      </c>
      <c r="Z298" s="105">
        <v>-17.77</v>
      </c>
      <c r="AA298" s="104">
        <v>4.41</v>
      </c>
      <c r="AB298" s="75">
        <v>4.4800000000000004</v>
      </c>
      <c r="AC298" s="75">
        <v>4.5599999999999996</v>
      </c>
      <c r="AD298" s="75">
        <v>5.1429999999999998</v>
      </c>
      <c r="AE298" s="75">
        <v>5.1349999999999998</v>
      </c>
      <c r="AF298" s="105">
        <v>5.2380000000000004</v>
      </c>
    </row>
    <row r="299" spans="2:32" x14ac:dyDescent="0.3">
      <c r="B299" s="111">
        <v>48.999999999999844</v>
      </c>
      <c r="C299" s="104">
        <v>4.8</v>
      </c>
      <c r="D299" s="75">
        <v>4.8899999999999997</v>
      </c>
      <c r="E299" s="75">
        <v>4.9800000000000004</v>
      </c>
      <c r="F299" s="75">
        <v>1.696</v>
      </c>
      <c r="G299" s="75">
        <v>1.375</v>
      </c>
      <c r="H299" s="105">
        <v>1.4610000000000001</v>
      </c>
      <c r="I299" s="104">
        <v>4.67</v>
      </c>
      <c r="J299" s="75">
        <v>4.74</v>
      </c>
      <c r="K299" s="75">
        <v>4.83</v>
      </c>
      <c r="L299" s="75">
        <v>3.3969999999999998</v>
      </c>
      <c r="M299" s="75">
        <v>3.165</v>
      </c>
      <c r="N299" s="105">
        <v>3.3639999999999999</v>
      </c>
      <c r="O299" s="104">
        <v>14.32</v>
      </c>
      <c r="P299" s="75">
        <v>14.24</v>
      </c>
      <c r="Q299" s="75">
        <v>14.26</v>
      </c>
      <c r="R299" s="75">
        <v>-2.9470000000000001</v>
      </c>
      <c r="S299" s="75">
        <v>-2.8849999999999998</v>
      </c>
      <c r="T299" s="105">
        <v>-2.8839999999999999</v>
      </c>
      <c r="U299" s="104">
        <v>15.38</v>
      </c>
      <c r="V299" s="75">
        <v>15.17</v>
      </c>
      <c r="W299" s="75">
        <v>15.03</v>
      </c>
      <c r="X299" s="75">
        <v>-18.920000000000002</v>
      </c>
      <c r="Y299" s="75">
        <v>-15.43</v>
      </c>
      <c r="Z299" s="105">
        <v>-14.1</v>
      </c>
      <c r="AA299" s="104">
        <v>4.4800000000000004</v>
      </c>
      <c r="AB299" s="75">
        <v>4.55</v>
      </c>
      <c r="AC299" s="75">
        <v>4.63</v>
      </c>
      <c r="AD299" s="75">
        <v>5.2779999999999996</v>
      </c>
      <c r="AE299" s="75">
        <v>5.1289999999999996</v>
      </c>
      <c r="AF299" s="105">
        <v>5.2939999999999996</v>
      </c>
    </row>
    <row r="300" spans="2:32" x14ac:dyDescent="0.3">
      <c r="B300" s="111">
        <v>49.166666666666508</v>
      </c>
      <c r="C300" s="104">
        <v>4.87</v>
      </c>
      <c r="D300" s="75">
        <v>4.96</v>
      </c>
      <c r="E300" s="75">
        <v>5.05</v>
      </c>
      <c r="F300" s="75">
        <v>1.645</v>
      </c>
      <c r="G300" s="75">
        <v>1.454</v>
      </c>
      <c r="H300" s="105">
        <v>1.446</v>
      </c>
      <c r="I300" s="104">
        <v>4.74</v>
      </c>
      <c r="J300" s="75">
        <v>4.82</v>
      </c>
      <c r="K300" s="75">
        <v>4.9000000000000004</v>
      </c>
      <c r="L300" s="75">
        <v>3.56</v>
      </c>
      <c r="M300" s="75">
        <v>3.3010000000000002</v>
      </c>
      <c r="N300" s="105">
        <v>3.383</v>
      </c>
      <c r="O300" s="104">
        <v>14.24</v>
      </c>
      <c r="P300" s="75">
        <v>14.16</v>
      </c>
      <c r="Q300" s="75">
        <v>14.19</v>
      </c>
      <c r="R300" s="75">
        <v>-2.835</v>
      </c>
      <c r="S300" s="75">
        <v>-3.0129999999999999</v>
      </c>
      <c r="T300" s="105">
        <v>-2.831</v>
      </c>
      <c r="U300" s="104">
        <v>15.19</v>
      </c>
      <c r="V300" s="75">
        <v>14.96</v>
      </c>
      <c r="W300" s="75">
        <v>14.82</v>
      </c>
      <c r="X300" s="75">
        <v>-15.56</v>
      </c>
      <c r="Y300" s="75">
        <v>-11.88</v>
      </c>
      <c r="Z300" s="105">
        <v>-10.64</v>
      </c>
      <c r="AA300" s="104">
        <v>4.55</v>
      </c>
      <c r="AB300" s="75">
        <v>4.63</v>
      </c>
      <c r="AC300" s="75">
        <v>4.7</v>
      </c>
      <c r="AD300" s="75">
        <v>5.23</v>
      </c>
      <c r="AE300" s="75">
        <v>5.1909999999999998</v>
      </c>
      <c r="AF300" s="105">
        <v>5.2789999999999999</v>
      </c>
    </row>
    <row r="301" spans="2:32" x14ac:dyDescent="0.3">
      <c r="B301" s="111">
        <v>49.333333333333172</v>
      </c>
      <c r="C301" s="104">
        <v>4.9400000000000004</v>
      </c>
      <c r="D301" s="75">
        <v>5.03</v>
      </c>
      <c r="E301" s="75">
        <v>5.12</v>
      </c>
      <c r="F301" s="75">
        <v>1.5009999999999999</v>
      </c>
      <c r="G301" s="75">
        <v>1.5309999999999999</v>
      </c>
      <c r="H301" s="105">
        <v>1.448</v>
      </c>
      <c r="I301" s="104">
        <v>4.8099999999999996</v>
      </c>
      <c r="J301" s="75">
        <v>4.8899999999999997</v>
      </c>
      <c r="K301" s="75">
        <v>4.9800000000000004</v>
      </c>
      <c r="L301" s="75">
        <v>3.4630000000000001</v>
      </c>
      <c r="M301" s="75">
        <v>3.3290000000000002</v>
      </c>
      <c r="N301" s="105">
        <v>3.2269999999999999</v>
      </c>
      <c r="O301" s="104">
        <v>14.17</v>
      </c>
      <c r="P301" s="75">
        <v>14.09</v>
      </c>
      <c r="Q301" s="75">
        <v>14.12</v>
      </c>
      <c r="R301" s="75">
        <v>-2.9969999999999999</v>
      </c>
      <c r="S301" s="75">
        <v>-3.016</v>
      </c>
      <c r="T301" s="105">
        <v>-2.7149999999999999</v>
      </c>
      <c r="U301" s="104">
        <v>14.99</v>
      </c>
      <c r="V301" s="75">
        <v>14.75</v>
      </c>
      <c r="W301" s="75">
        <v>14.63</v>
      </c>
      <c r="X301" s="75">
        <v>-12.24</v>
      </c>
      <c r="Y301" s="75">
        <v>-8.81</v>
      </c>
      <c r="Z301" s="105">
        <v>-7.7190000000000003</v>
      </c>
      <c r="AA301" s="104">
        <v>4.62</v>
      </c>
      <c r="AB301" s="75">
        <v>4.7</v>
      </c>
      <c r="AC301" s="75">
        <v>4.7699999999999996</v>
      </c>
      <c r="AD301" s="75">
        <v>5.0590000000000002</v>
      </c>
      <c r="AE301" s="75">
        <v>5.3360000000000003</v>
      </c>
      <c r="AF301" s="105">
        <v>5.2880000000000003</v>
      </c>
    </row>
    <row r="302" spans="2:32" x14ac:dyDescent="0.3">
      <c r="B302" s="111">
        <v>49.499999999999837</v>
      </c>
      <c r="C302" s="104">
        <v>5.0199999999999996</v>
      </c>
      <c r="D302" s="75">
        <v>5.0999999999999996</v>
      </c>
      <c r="E302" s="75">
        <v>5.18</v>
      </c>
      <c r="F302" s="75">
        <v>1.613</v>
      </c>
      <c r="G302" s="75">
        <v>1.5009999999999999</v>
      </c>
      <c r="H302" s="105">
        <v>1.423</v>
      </c>
      <c r="I302" s="104">
        <v>4.88</v>
      </c>
      <c r="J302" s="75">
        <v>4.96</v>
      </c>
      <c r="K302" s="75">
        <v>5.04</v>
      </c>
      <c r="L302" s="75">
        <v>3.1619999999999999</v>
      </c>
      <c r="M302" s="75">
        <v>3.31</v>
      </c>
      <c r="N302" s="105">
        <v>3.2639999999999998</v>
      </c>
      <c r="O302" s="104">
        <v>14.1</v>
      </c>
      <c r="P302" s="75">
        <v>14.02</v>
      </c>
      <c r="Q302" s="75">
        <v>14.05</v>
      </c>
      <c r="R302" s="75">
        <v>-2.879</v>
      </c>
      <c r="S302" s="75">
        <v>-2.9319999999999999</v>
      </c>
      <c r="T302" s="105">
        <v>-2.7080000000000002</v>
      </c>
      <c r="U302" s="104">
        <v>14.79</v>
      </c>
      <c r="V302" s="75">
        <v>14.57</v>
      </c>
      <c r="W302" s="75">
        <v>14.47</v>
      </c>
      <c r="X302" s="75">
        <v>-8.8699999999999992</v>
      </c>
      <c r="Y302" s="75">
        <v>-6.2190000000000003</v>
      </c>
      <c r="Z302" s="105">
        <v>-5.649</v>
      </c>
      <c r="AA302" s="104">
        <v>4.7</v>
      </c>
      <c r="AB302" s="75">
        <v>4.7699999999999996</v>
      </c>
      <c r="AC302" s="75">
        <v>4.84</v>
      </c>
      <c r="AD302" s="75">
        <v>5.2460000000000004</v>
      </c>
      <c r="AE302" s="75">
        <v>5.3250000000000002</v>
      </c>
      <c r="AF302" s="105">
        <v>5.31</v>
      </c>
    </row>
    <row r="303" spans="2:32" x14ac:dyDescent="0.3">
      <c r="B303" s="111">
        <v>49.666666666666501</v>
      </c>
      <c r="C303" s="104">
        <v>5.09</v>
      </c>
      <c r="D303" s="75">
        <v>5.17</v>
      </c>
      <c r="E303" s="75">
        <v>5.26</v>
      </c>
      <c r="F303" s="75">
        <v>1.73</v>
      </c>
      <c r="G303" s="75">
        <v>1.5169999999999999</v>
      </c>
      <c r="H303" s="105">
        <v>1.5389999999999999</v>
      </c>
      <c r="I303" s="104">
        <v>4.96</v>
      </c>
      <c r="J303" s="75">
        <v>5.03</v>
      </c>
      <c r="K303" s="75">
        <v>5.12</v>
      </c>
      <c r="L303" s="75">
        <v>3.234</v>
      </c>
      <c r="M303" s="75">
        <v>3.3119999999999998</v>
      </c>
      <c r="N303" s="105">
        <v>3.1680000000000001</v>
      </c>
      <c r="O303" s="104">
        <v>14.02</v>
      </c>
      <c r="P303" s="75">
        <v>13.93</v>
      </c>
      <c r="Q303" s="75">
        <v>13.97</v>
      </c>
      <c r="R303" s="75">
        <v>-2.7850000000000001</v>
      </c>
      <c r="S303" s="75">
        <v>-3.052</v>
      </c>
      <c r="T303" s="105">
        <v>-2.944</v>
      </c>
      <c r="U303" s="104">
        <v>14.61</v>
      </c>
      <c r="V303" s="75">
        <v>14.4</v>
      </c>
      <c r="W303" s="75">
        <v>14.32</v>
      </c>
      <c r="X303" s="75">
        <v>-6.2160000000000002</v>
      </c>
      <c r="Y303" s="75">
        <v>-4.5949999999999998</v>
      </c>
      <c r="Z303" s="105">
        <v>-4.4820000000000002</v>
      </c>
      <c r="AA303" s="104">
        <v>4.7699999999999996</v>
      </c>
      <c r="AB303" s="75">
        <v>4.84</v>
      </c>
      <c r="AC303" s="75">
        <v>4.91</v>
      </c>
      <c r="AD303" s="75">
        <v>5.3440000000000003</v>
      </c>
      <c r="AE303" s="75">
        <v>5.3010000000000002</v>
      </c>
      <c r="AF303" s="105">
        <v>5.3869999999999996</v>
      </c>
    </row>
    <row r="304" spans="2:32" x14ac:dyDescent="0.3">
      <c r="B304" s="111">
        <v>49.833333333333165</v>
      </c>
      <c r="C304" s="104">
        <v>5.17</v>
      </c>
      <c r="D304" s="75">
        <v>5.25</v>
      </c>
      <c r="E304" s="75">
        <v>5.33</v>
      </c>
      <c r="F304" s="75">
        <v>1.792</v>
      </c>
      <c r="G304" s="75">
        <v>1.627</v>
      </c>
      <c r="H304" s="105">
        <v>1.4890000000000001</v>
      </c>
      <c r="I304" s="104">
        <v>5.04</v>
      </c>
      <c r="J304" s="75">
        <v>5.0999999999999996</v>
      </c>
      <c r="K304" s="75">
        <v>5.18</v>
      </c>
      <c r="L304" s="75">
        <v>3.3660000000000001</v>
      </c>
      <c r="M304" s="75">
        <v>3.198</v>
      </c>
      <c r="N304" s="105">
        <v>3.2109999999999999</v>
      </c>
      <c r="O304" s="104">
        <v>13.95</v>
      </c>
      <c r="P304" s="75">
        <v>13.86</v>
      </c>
      <c r="Q304" s="75">
        <v>13.9</v>
      </c>
      <c r="R304" s="75">
        <v>-2.859</v>
      </c>
      <c r="S304" s="75">
        <v>-2.944</v>
      </c>
      <c r="T304" s="105">
        <v>-2.8620000000000001</v>
      </c>
      <c r="U304" s="104">
        <v>14.44</v>
      </c>
      <c r="V304" s="75">
        <v>14.27</v>
      </c>
      <c r="W304" s="75">
        <v>14.2</v>
      </c>
      <c r="X304" s="75">
        <v>-4.399</v>
      </c>
      <c r="Y304" s="75">
        <v>-3.407</v>
      </c>
      <c r="Z304" s="105">
        <v>-3.456</v>
      </c>
      <c r="AA304" s="104">
        <v>4.8499999999999996</v>
      </c>
      <c r="AB304" s="75">
        <v>4.91</v>
      </c>
      <c r="AC304" s="75">
        <v>4.9800000000000004</v>
      </c>
      <c r="AD304" s="75">
        <v>5.4580000000000002</v>
      </c>
      <c r="AE304" s="75">
        <v>5.4189999999999996</v>
      </c>
      <c r="AF304" s="105">
        <v>5.3529999999999998</v>
      </c>
    </row>
    <row r="305" spans="2:32" x14ac:dyDescent="0.3">
      <c r="B305" s="111">
        <v>49.999999999999829</v>
      </c>
      <c r="C305" s="104">
        <v>5.24</v>
      </c>
      <c r="D305" s="75">
        <v>5.32</v>
      </c>
      <c r="E305" s="75">
        <v>5.39</v>
      </c>
      <c r="F305" s="75">
        <v>1.675</v>
      </c>
      <c r="G305" s="75">
        <v>1.623</v>
      </c>
      <c r="H305" s="105">
        <v>1.4530000000000001</v>
      </c>
      <c r="I305" s="104">
        <v>5.12</v>
      </c>
      <c r="J305" s="75">
        <v>5.18</v>
      </c>
      <c r="K305" s="75">
        <v>5.25</v>
      </c>
      <c r="L305" s="75">
        <v>3.4129999999999998</v>
      </c>
      <c r="M305" s="75">
        <v>3.2919999999999998</v>
      </c>
      <c r="N305" s="105">
        <v>3.1440000000000001</v>
      </c>
      <c r="O305" s="104">
        <v>13.86</v>
      </c>
      <c r="P305" s="75">
        <v>13.79</v>
      </c>
      <c r="Q305" s="75">
        <v>13.83</v>
      </c>
      <c r="R305" s="75">
        <v>-3.0129999999999999</v>
      </c>
      <c r="S305" s="75">
        <v>-2.95</v>
      </c>
      <c r="T305" s="105">
        <v>-2.7149999999999999</v>
      </c>
      <c r="U305" s="104">
        <v>14.3</v>
      </c>
      <c r="V305" s="75">
        <v>14.15</v>
      </c>
      <c r="W305" s="75">
        <v>14.1</v>
      </c>
      <c r="X305" s="75">
        <v>-3.58</v>
      </c>
      <c r="Y305" s="75">
        <v>-2.77</v>
      </c>
      <c r="Z305" s="105">
        <v>-2.875</v>
      </c>
      <c r="AA305" s="104">
        <v>4.92</v>
      </c>
      <c r="AB305" s="75">
        <v>4.9800000000000004</v>
      </c>
      <c r="AC305" s="75">
        <v>5.04</v>
      </c>
      <c r="AD305" s="75">
        <v>5.7640000000000002</v>
      </c>
      <c r="AE305" s="75">
        <v>5.4720000000000004</v>
      </c>
      <c r="AF305" s="105">
        <v>5.3540000000000001</v>
      </c>
    </row>
    <row r="306" spans="2:32" x14ac:dyDescent="0.3">
      <c r="B306" s="111">
        <v>50.166666666666494</v>
      </c>
      <c r="C306" s="104">
        <v>5.32</v>
      </c>
      <c r="D306" s="75">
        <v>5.38</v>
      </c>
      <c r="E306" s="75">
        <v>5.46</v>
      </c>
      <c r="F306" s="75">
        <v>1.82</v>
      </c>
      <c r="G306" s="75">
        <v>1.6659999999999999</v>
      </c>
      <c r="H306" s="105">
        <v>1.53</v>
      </c>
      <c r="I306" s="104">
        <v>5.19</v>
      </c>
      <c r="J306" s="75">
        <v>5.25</v>
      </c>
      <c r="K306" s="75">
        <v>5.32</v>
      </c>
      <c r="L306" s="75">
        <v>3.1739999999999999</v>
      </c>
      <c r="M306" s="75">
        <v>3.3450000000000002</v>
      </c>
      <c r="N306" s="105">
        <v>3.0840000000000001</v>
      </c>
      <c r="O306" s="104">
        <v>13.8</v>
      </c>
      <c r="P306" s="75">
        <v>13.72</v>
      </c>
      <c r="Q306" s="75">
        <v>13.76</v>
      </c>
      <c r="R306" s="75">
        <v>-2.8559999999999999</v>
      </c>
      <c r="S306" s="75">
        <v>-2.7250000000000001</v>
      </c>
      <c r="T306" s="105">
        <v>-2.605</v>
      </c>
      <c r="U306" s="104">
        <v>14.19</v>
      </c>
      <c r="V306" s="75">
        <v>14.06</v>
      </c>
      <c r="W306" s="75">
        <v>14.01</v>
      </c>
      <c r="X306" s="75">
        <v>-3.5914999999999999</v>
      </c>
      <c r="Y306" s="75">
        <v>-3.133</v>
      </c>
      <c r="Z306" s="105">
        <v>-3.427</v>
      </c>
      <c r="AA306" s="104">
        <v>5</v>
      </c>
      <c r="AB306" s="75">
        <v>5.05</v>
      </c>
      <c r="AC306" s="75">
        <v>5.1100000000000003</v>
      </c>
      <c r="AD306" s="75">
        <v>5.4930000000000003</v>
      </c>
      <c r="AE306" s="75">
        <v>5.5270000000000001</v>
      </c>
      <c r="AF306" s="105">
        <v>5.4109999999999996</v>
      </c>
    </row>
    <row r="307" spans="2:32" x14ac:dyDescent="0.3">
      <c r="B307" s="111">
        <v>50.333333333333158</v>
      </c>
      <c r="C307" s="104">
        <v>5.4</v>
      </c>
      <c r="D307" s="75">
        <v>5.47</v>
      </c>
      <c r="E307" s="75">
        <v>5.55</v>
      </c>
      <c r="F307" s="75">
        <v>1.8340000000000001</v>
      </c>
      <c r="G307" s="75">
        <v>1.9379999999999999</v>
      </c>
      <c r="H307" s="105">
        <v>2.1059999999999999</v>
      </c>
      <c r="I307" s="104">
        <v>5.25</v>
      </c>
      <c r="J307" s="75">
        <v>5.33</v>
      </c>
      <c r="K307" s="75">
        <v>5.41</v>
      </c>
      <c r="L307" s="75">
        <v>3.371</v>
      </c>
      <c r="M307" s="75">
        <v>3.2280000000000002</v>
      </c>
      <c r="N307" s="105">
        <v>3.1019999999999999</v>
      </c>
      <c r="O307" s="104">
        <v>13.72</v>
      </c>
      <c r="P307" s="75">
        <v>13.64</v>
      </c>
      <c r="Q307" s="75">
        <v>13.69</v>
      </c>
      <c r="R307" s="75">
        <v>-2.83</v>
      </c>
      <c r="S307" s="75">
        <v>-2.831</v>
      </c>
      <c r="T307" s="105">
        <v>-2.77</v>
      </c>
      <c r="U307" s="104">
        <v>14.09</v>
      </c>
      <c r="V307" s="75">
        <v>13.96</v>
      </c>
      <c r="W307" s="75">
        <v>13.92</v>
      </c>
      <c r="X307" s="75">
        <v>-3.6029999999999998</v>
      </c>
      <c r="Y307" s="75">
        <v>-3.496</v>
      </c>
      <c r="Z307" s="105">
        <v>-3.9790000000000001</v>
      </c>
      <c r="AA307" s="104">
        <v>5.0599999999999996</v>
      </c>
      <c r="AB307" s="75">
        <v>5.14</v>
      </c>
      <c r="AC307" s="75">
        <v>5.2</v>
      </c>
      <c r="AD307" s="75">
        <v>5.5110000000000001</v>
      </c>
      <c r="AE307" s="75">
        <v>5.8140000000000001</v>
      </c>
      <c r="AF307" s="105">
        <v>6.0609999999999999</v>
      </c>
    </row>
    <row r="308" spans="2:32" x14ac:dyDescent="0.3">
      <c r="B308" s="111">
        <v>50.499999999999822</v>
      </c>
      <c r="C308" s="104">
        <v>5.47</v>
      </c>
      <c r="D308" s="75">
        <v>5.56</v>
      </c>
      <c r="E308" s="75">
        <v>5.62</v>
      </c>
      <c r="F308" s="75">
        <v>1.6359999999999999</v>
      </c>
      <c r="G308" s="75">
        <v>2.0299999999999998</v>
      </c>
      <c r="H308" s="105">
        <v>1.9419999999999999</v>
      </c>
      <c r="I308" s="104">
        <v>5.34</v>
      </c>
      <c r="J308" s="75">
        <v>5.42</v>
      </c>
      <c r="K308" s="75">
        <v>5.49</v>
      </c>
      <c r="L308" s="75">
        <v>3.35</v>
      </c>
      <c r="M308" s="75">
        <v>3.5640000000000001</v>
      </c>
      <c r="N308" s="105">
        <v>3.83</v>
      </c>
      <c r="O308" s="104">
        <v>13.65</v>
      </c>
      <c r="P308" s="75">
        <v>13.57</v>
      </c>
      <c r="Q308" s="75">
        <v>13.62</v>
      </c>
      <c r="R308" s="75">
        <v>-2.7280000000000002</v>
      </c>
      <c r="S308" s="75">
        <v>-2.8279999999999998</v>
      </c>
      <c r="T308" s="105">
        <v>-2.7519999999999998</v>
      </c>
      <c r="U308" s="104">
        <v>14</v>
      </c>
      <c r="V308" s="75">
        <v>13.88</v>
      </c>
      <c r="W308" s="75">
        <v>13.84</v>
      </c>
      <c r="X308" s="75">
        <v>-3.0649999999999999</v>
      </c>
      <c r="Y308" s="75">
        <v>-3.1950000000000003</v>
      </c>
      <c r="Z308" s="105">
        <v>-3.7130000000000001</v>
      </c>
      <c r="AA308" s="104">
        <v>5.15</v>
      </c>
      <c r="AB308" s="75">
        <v>5.22</v>
      </c>
      <c r="AC308" s="75">
        <v>5.28</v>
      </c>
      <c r="AD308" s="75">
        <v>5.351</v>
      </c>
      <c r="AE308" s="75">
        <v>5.85</v>
      </c>
      <c r="AF308" s="105">
        <v>5.9359999999999999</v>
      </c>
    </row>
    <row r="309" spans="2:32" x14ac:dyDescent="0.3">
      <c r="B309" s="111">
        <v>50.666666666666487</v>
      </c>
      <c r="C309" s="104">
        <v>5.54</v>
      </c>
      <c r="D309" s="75">
        <v>5.64</v>
      </c>
      <c r="E309" s="75">
        <v>5.7</v>
      </c>
      <c r="F309" s="75">
        <v>1.863</v>
      </c>
      <c r="G309" s="75">
        <v>2.056</v>
      </c>
      <c r="H309" s="105">
        <v>1.99</v>
      </c>
      <c r="I309" s="104">
        <v>5.43</v>
      </c>
      <c r="J309" s="75">
        <v>5.5</v>
      </c>
      <c r="K309" s="75">
        <v>5.56</v>
      </c>
      <c r="L309" s="75">
        <v>3.649</v>
      </c>
      <c r="M309" s="75">
        <v>3.5419999999999998</v>
      </c>
      <c r="N309" s="105">
        <v>3.6469999999999998</v>
      </c>
      <c r="O309" s="104">
        <v>13.57</v>
      </c>
      <c r="P309" s="75">
        <v>13.49</v>
      </c>
      <c r="Q309" s="75">
        <v>13.55</v>
      </c>
      <c r="R309" s="75">
        <v>-2.9249999999999998</v>
      </c>
      <c r="S309" s="75">
        <v>-3.1669999999999998</v>
      </c>
      <c r="T309" s="105">
        <v>-2.6240000000000001</v>
      </c>
      <c r="U309" s="104">
        <v>13.91</v>
      </c>
      <c r="V309" s="75">
        <v>13.79</v>
      </c>
      <c r="W309" s="75">
        <v>13.77</v>
      </c>
      <c r="X309" s="75">
        <v>-3.0309999999999997</v>
      </c>
      <c r="Y309" s="75">
        <v>-3.3970000000000002</v>
      </c>
      <c r="Z309" s="105">
        <v>-3.4359999999999999</v>
      </c>
      <c r="AA309" s="104">
        <v>5.22</v>
      </c>
      <c r="AB309" s="75">
        <v>5.3</v>
      </c>
      <c r="AC309" s="75">
        <v>5.35</v>
      </c>
      <c r="AD309" s="75">
        <v>5.5460000000000003</v>
      </c>
      <c r="AE309" s="75">
        <v>6.0019999999999998</v>
      </c>
      <c r="AF309" s="105">
        <v>5.9880000000000004</v>
      </c>
    </row>
    <row r="310" spans="2:32" x14ac:dyDescent="0.3">
      <c r="B310" s="111">
        <v>50.833333333333151</v>
      </c>
      <c r="C310" s="104">
        <v>5.62</v>
      </c>
      <c r="D310" s="75">
        <v>5.71</v>
      </c>
      <c r="E310" s="75">
        <v>5.77</v>
      </c>
      <c r="F310" s="75">
        <v>1.877</v>
      </c>
      <c r="G310" s="75">
        <v>2.036</v>
      </c>
      <c r="H310" s="105">
        <v>1.8049999999999999</v>
      </c>
      <c r="I310" s="104">
        <v>5.49</v>
      </c>
      <c r="J310" s="75">
        <v>5.58</v>
      </c>
      <c r="K310" s="75">
        <v>5.63</v>
      </c>
      <c r="L310" s="75">
        <v>3.3079999999999998</v>
      </c>
      <c r="M310" s="75">
        <v>3.5910000000000002</v>
      </c>
      <c r="N310" s="105">
        <v>3.5830000000000002</v>
      </c>
      <c r="O310" s="104">
        <v>13.49</v>
      </c>
      <c r="P310" s="75">
        <v>13.4</v>
      </c>
      <c r="Q310" s="75">
        <v>13.46</v>
      </c>
      <c r="R310" s="75">
        <v>-3.242</v>
      </c>
      <c r="S310" s="75">
        <v>-3.2749999999999999</v>
      </c>
      <c r="T310" s="105">
        <v>-3.294</v>
      </c>
      <c r="U310" s="104">
        <v>13.82</v>
      </c>
      <c r="V310" s="75">
        <v>13.7</v>
      </c>
      <c r="W310" s="75">
        <v>13.67</v>
      </c>
      <c r="X310" s="75">
        <v>-3.2080000000000002</v>
      </c>
      <c r="Y310" s="75">
        <v>-3.3609999999999998</v>
      </c>
      <c r="Z310" s="105">
        <v>-4.1360000000000001</v>
      </c>
      <c r="AA310" s="104">
        <v>5.3</v>
      </c>
      <c r="AB310" s="75">
        <v>5.37</v>
      </c>
      <c r="AC310" s="75">
        <v>5.41</v>
      </c>
      <c r="AD310" s="75">
        <v>5.5640000000000001</v>
      </c>
      <c r="AE310" s="75">
        <v>6.0069999999999997</v>
      </c>
      <c r="AF310" s="105">
        <v>5.8440000000000003</v>
      </c>
    </row>
    <row r="311" spans="2:32" x14ac:dyDescent="0.3">
      <c r="B311" s="111">
        <v>50.999999999999815</v>
      </c>
      <c r="C311" s="104">
        <v>5.69</v>
      </c>
      <c r="D311" s="75">
        <v>5.79</v>
      </c>
      <c r="E311" s="75">
        <v>5.84</v>
      </c>
      <c r="F311" s="75">
        <v>1.7290000000000001</v>
      </c>
      <c r="G311" s="75">
        <v>2.0950000000000002</v>
      </c>
      <c r="H311" s="105">
        <v>1.843</v>
      </c>
      <c r="I311" s="104">
        <v>5.57</v>
      </c>
      <c r="J311" s="75">
        <v>5.65</v>
      </c>
      <c r="K311" s="75">
        <v>5.71</v>
      </c>
      <c r="L311" s="75">
        <v>3.2869999999999999</v>
      </c>
      <c r="M311" s="75">
        <v>3.5630000000000002</v>
      </c>
      <c r="N311" s="105">
        <v>3.2709999999999999</v>
      </c>
      <c r="O311" s="104">
        <v>13.4</v>
      </c>
      <c r="P311" s="75">
        <v>13.31</v>
      </c>
      <c r="Q311" s="75">
        <v>13.36</v>
      </c>
      <c r="R311" s="75">
        <v>-3.1349999999999998</v>
      </c>
      <c r="S311" s="75">
        <v>-3.1890000000000001</v>
      </c>
      <c r="T311" s="105">
        <v>-3.3180000000000001</v>
      </c>
      <c r="U311" s="104">
        <v>13.73</v>
      </c>
      <c r="V311" s="75">
        <v>13.61</v>
      </c>
      <c r="W311" s="75">
        <v>13.58</v>
      </c>
      <c r="X311" s="75">
        <v>-2.9529999999999998</v>
      </c>
      <c r="Y311" s="75">
        <v>-3.1470000000000002</v>
      </c>
      <c r="Z311" s="105">
        <v>-4.0229999999999997</v>
      </c>
      <c r="AA311" s="104">
        <v>5.36</v>
      </c>
      <c r="AB311" s="75">
        <v>5.45</v>
      </c>
      <c r="AC311" s="75">
        <v>5.49</v>
      </c>
      <c r="AD311" s="75">
        <v>5.8710000000000004</v>
      </c>
      <c r="AE311" s="75">
        <v>6.085</v>
      </c>
      <c r="AF311" s="105">
        <v>5.9080000000000004</v>
      </c>
    </row>
    <row r="312" spans="2:32" x14ac:dyDescent="0.3">
      <c r="B312" s="111">
        <v>51.16666666666648</v>
      </c>
      <c r="C312" s="104">
        <v>5.77</v>
      </c>
      <c r="D312" s="75">
        <v>5.85</v>
      </c>
      <c r="E312" s="75">
        <v>5.91</v>
      </c>
      <c r="F312" s="75">
        <v>1.905</v>
      </c>
      <c r="G312" s="75">
        <v>1.88</v>
      </c>
      <c r="H312" s="105">
        <v>1.986</v>
      </c>
      <c r="I312" s="104">
        <v>5.64</v>
      </c>
      <c r="J312" s="75">
        <v>5.73</v>
      </c>
      <c r="K312" s="75">
        <v>5.78</v>
      </c>
      <c r="L312" s="75">
        <v>3.7109999999999999</v>
      </c>
      <c r="M312" s="75">
        <v>3.363</v>
      </c>
      <c r="N312" s="105">
        <v>3.302</v>
      </c>
      <c r="O312" s="104">
        <v>13.32</v>
      </c>
      <c r="P312" s="75">
        <v>13.23</v>
      </c>
      <c r="Q312" s="75">
        <v>13.24</v>
      </c>
      <c r="R312" s="75">
        <v>-3.0009999999999999</v>
      </c>
      <c r="S312" s="75">
        <v>-3.0859999999999999</v>
      </c>
      <c r="T312" s="105">
        <v>-3.2160000000000002</v>
      </c>
      <c r="U312" s="104">
        <v>13.64</v>
      </c>
      <c r="V312" s="75">
        <v>13.53</v>
      </c>
      <c r="W312" s="75">
        <v>13.45</v>
      </c>
      <c r="X312" s="75">
        <v>-2.6840000000000002</v>
      </c>
      <c r="Y312" s="75">
        <v>-2.964</v>
      </c>
      <c r="Z312" s="105">
        <v>-3.8449999999999998</v>
      </c>
      <c r="AA312" s="104">
        <v>5.45</v>
      </c>
      <c r="AB312" s="75">
        <v>5.51</v>
      </c>
      <c r="AC312" s="75">
        <v>5.56</v>
      </c>
      <c r="AD312" s="75">
        <v>5.6</v>
      </c>
      <c r="AE312" s="75">
        <v>5.8540000000000001</v>
      </c>
      <c r="AF312" s="105">
        <v>6.0670000000000002</v>
      </c>
    </row>
    <row r="313" spans="2:32" x14ac:dyDescent="0.3">
      <c r="B313" s="111">
        <v>51.333333333333144</v>
      </c>
      <c r="C313" s="104">
        <v>5.85</v>
      </c>
      <c r="D313" s="75">
        <v>5.93</v>
      </c>
      <c r="E313" s="75">
        <v>5.97</v>
      </c>
      <c r="F313" s="75">
        <v>1.919</v>
      </c>
      <c r="G313" s="75">
        <v>2.0249999999999999</v>
      </c>
      <c r="H313" s="105">
        <v>1.994</v>
      </c>
      <c r="I313" s="104">
        <v>5.72</v>
      </c>
      <c r="J313" s="75">
        <v>5.8</v>
      </c>
      <c r="K313" s="75">
        <v>5.85</v>
      </c>
      <c r="L313" s="75">
        <v>3.2440000000000002</v>
      </c>
      <c r="M313" s="75">
        <v>3.391</v>
      </c>
      <c r="N313" s="105">
        <v>3.4380000000000002</v>
      </c>
      <c r="O313" s="104">
        <v>13.2</v>
      </c>
      <c r="P313" s="75">
        <v>13.15</v>
      </c>
      <c r="Q313" s="75">
        <v>13.12</v>
      </c>
      <c r="R313" s="75">
        <v>-3.01</v>
      </c>
      <c r="S313" s="75">
        <v>-2.9910000000000001</v>
      </c>
      <c r="T313" s="105">
        <v>-3.0150000000000001</v>
      </c>
      <c r="U313" s="104">
        <v>13.52</v>
      </c>
      <c r="V313" s="75">
        <v>13.45</v>
      </c>
      <c r="W313" s="75">
        <v>13.33</v>
      </c>
      <c r="X313" s="75">
        <v>-2.5620000000000003</v>
      </c>
      <c r="Y313" s="75">
        <v>-2.8279999999999998</v>
      </c>
      <c r="Z313" s="105">
        <v>-3.5609999999999999</v>
      </c>
      <c r="AA313" s="104">
        <v>5.51</v>
      </c>
      <c r="AB313" s="75">
        <v>5.59</v>
      </c>
      <c r="AC313" s="75">
        <v>5.62</v>
      </c>
      <c r="AD313" s="75">
        <v>5.617</v>
      </c>
      <c r="AE313" s="75">
        <v>6.0549999999999997</v>
      </c>
      <c r="AF313" s="105">
        <v>6.0810000000000004</v>
      </c>
    </row>
    <row r="314" spans="2:32" x14ac:dyDescent="0.3">
      <c r="B314" s="111">
        <v>51.499999999999808</v>
      </c>
      <c r="C314" s="104">
        <v>5.92</v>
      </c>
      <c r="D314" s="75">
        <v>6</v>
      </c>
      <c r="E314" s="75">
        <v>6.04</v>
      </c>
      <c r="F314" s="75">
        <v>2.7429999999999999</v>
      </c>
      <c r="G314" s="75">
        <v>2.1040000000000001</v>
      </c>
      <c r="H314" s="105">
        <v>1.86</v>
      </c>
      <c r="I314" s="104">
        <v>5.79</v>
      </c>
      <c r="J314" s="75">
        <v>5.88</v>
      </c>
      <c r="K314" s="75">
        <v>5.92</v>
      </c>
      <c r="L314" s="75">
        <v>3.2229999999999999</v>
      </c>
      <c r="M314" s="75">
        <v>3.423</v>
      </c>
      <c r="N314" s="105">
        <v>3.3809999999999998</v>
      </c>
      <c r="O314" s="104">
        <v>13.09</v>
      </c>
      <c r="P314" s="75">
        <v>13.08</v>
      </c>
      <c r="Q314" s="75">
        <v>13.04</v>
      </c>
      <c r="R314" s="75">
        <v>-2.94</v>
      </c>
      <c r="S314" s="75">
        <v>-3.12</v>
      </c>
      <c r="T314" s="105">
        <v>-2.9249999999999998</v>
      </c>
      <c r="U314" s="104">
        <v>13.41</v>
      </c>
      <c r="V314" s="75">
        <v>13.37</v>
      </c>
      <c r="W314" s="75">
        <v>13.25</v>
      </c>
      <c r="X314" s="75">
        <v>-2.3890000000000002</v>
      </c>
      <c r="Y314" s="75">
        <v>-2.859</v>
      </c>
      <c r="Z314" s="105">
        <v>-3.371</v>
      </c>
      <c r="AA314" s="104">
        <v>5.6</v>
      </c>
      <c r="AB314" s="75">
        <v>5.66</v>
      </c>
      <c r="AC314" s="75">
        <v>5.69</v>
      </c>
      <c r="AD314" s="75">
        <v>5.694</v>
      </c>
      <c r="AE314" s="75">
        <v>6.1509999999999998</v>
      </c>
      <c r="AF314" s="105">
        <v>5.9649999999999999</v>
      </c>
    </row>
    <row r="315" spans="2:32" x14ac:dyDescent="0.3">
      <c r="B315" s="111">
        <v>51.666666666666472</v>
      </c>
      <c r="C315" s="104">
        <v>5.98</v>
      </c>
      <c r="D315" s="75">
        <v>6.07</v>
      </c>
      <c r="E315" s="75">
        <v>6.12</v>
      </c>
      <c r="F315" s="75">
        <v>1.948</v>
      </c>
      <c r="G315" s="75">
        <v>2.1219999999999999</v>
      </c>
      <c r="H315" s="105">
        <v>1.9430000000000001</v>
      </c>
      <c r="I315" s="104">
        <v>5.87</v>
      </c>
      <c r="J315" s="75">
        <v>5.95</v>
      </c>
      <c r="K315" s="75">
        <v>6</v>
      </c>
      <c r="L315" s="75">
        <v>3.2850000000000001</v>
      </c>
      <c r="M315" s="75">
        <v>3.43</v>
      </c>
      <c r="N315" s="105">
        <v>3.0819999999999999</v>
      </c>
      <c r="O315" s="104">
        <v>13.03</v>
      </c>
      <c r="P315" s="75">
        <v>13</v>
      </c>
      <c r="Q315" s="75">
        <v>12.96</v>
      </c>
      <c r="R315" s="75">
        <v>-2.7080000000000002</v>
      </c>
      <c r="S315" s="75">
        <v>-3.0150000000000001</v>
      </c>
      <c r="T315" s="105">
        <v>-3.0510000000000002</v>
      </c>
      <c r="U315" s="104">
        <v>13.34</v>
      </c>
      <c r="V315" s="75">
        <v>13.3</v>
      </c>
      <c r="W315" s="75">
        <v>13.17</v>
      </c>
      <c r="X315" s="75">
        <v>-2.028</v>
      </c>
      <c r="Y315" s="75">
        <v>-2.706</v>
      </c>
      <c r="Z315" s="105">
        <v>-3.4550000000000001</v>
      </c>
      <c r="AA315" s="104">
        <v>5.67</v>
      </c>
      <c r="AB315" s="75">
        <v>5.73</v>
      </c>
      <c r="AC315" s="75">
        <v>5.76</v>
      </c>
      <c r="AD315" s="75">
        <v>5.6529999999999996</v>
      </c>
      <c r="AE315" s="75">
        <v>6.18</v>
      </c>
      <c r="AF315" s="105">
        <v>6.0910000000000002</v>
      </c>
    </row>
    <row r="316" spans="2:32" x14ac:dyDescent="0.3">
      <c r="B316" s="111">
        <v>51.833333333333137</v>
      </c>
      <c r="C316" s="104">
        <v>6.07</v>
      </c>
      <c r="D316" s="75">
        <v>6.13</v>
      </c>
      <c r="E316" s="75">
        <v>6.18</v>
      </c>
      <c r="F316" s="75">
        <v>1.962</v>
      </c>
      <c r="G316" s="75">
        <v>2.0329999999999999</v>
      </c>
      <c r="H316" s="105">
        <v>2.1520000000000001</v>
      </c>
      <c r="I316" s="104">
        <v>5.94</v>
      </c>
      <c r="J316" s="75">
        <v>6.02</v>
      </c>
      <c r="K316" s="75">
        <v>6.06</v>
      </c>
      <c r="L316" s="75">
        <v>3.181</v>
      </c>
      <c r="M316" s="75">
        <v>3.4009999999999998</v>
      </c>
      <c r="N316" s="105">
        <v>3.2869999999999999</v>
      </c>
      <c r="O316" s="104">
        <v>12.95</v>
      </c>
      <c r="P316" s="75">
        <v>12.93</v>
      </c>
      <c r="Q316" s="75">
        <v>12.89</v>
      </c>
      <c r="R316" s="75">
        <v>-2.7080000000000002</v>
      </c>
      <c r="S316" s="75">
        <v>-2.8580000000000001</v>
      </c>
      <c r="T316" s="105">
        <v>-2.7850000000000001</v>
      </c>
      <c r="U316" s="104">
        <v>13.27</v>
      </c>
      <c r="V316" s="75">
        <v>13.22</v>
      </c>
      <c r="W316" s="75">
        <v>13.1</v>
      </c>
      <c r="X316" s="75">
        <v>-2.0939999999999999</v>
      </c>
      <c r="Y316" s="75">
        <v>-2.512</v>
      </c>
      <c r="Z316" s="105">
        <v>-3.149</v>
      </c>
      <c r="AA316" s="104">
        <v>5.75</v>
      </c>
      <c r="AB316" s="75">
        <v>5.79</v>
      </c>
      <c r="AC316" s="75">
        <v>5.82</v>
      </c>
      <c r="AD316" s="75">
        <v>5.67</v>
      </c>
      <c r="AE316" s="75">
        <v>6.117</v>
      </c>
      <c r="AF316" s="105">
        <v>6.3019999999999996</v>
      </c>
    </row>
    <row r="317" spans="2:32" x14ac:dyDescent="0.3">
      <c r="B317" s="111">
        <v>51.999999999999801</v>
      </c>
      <c r="C317" s="104">
        <v>6.14</v>
      </c>
      <c r="D317" s="75">
        <v>6.21</v>
      </c>
      <c r="E317" s="75">
        <v>6.25</v>
      </c>
      <c r="F317" s="75">
        <v>1.47</v>
      </c>
      <c r="G317" s="75">
        <v>2.101</v>
      </c>
      <c r="H317" s="105">
        <v>2.1669999999999998</v>
      </c>
      <c r="I317" s="104">
        <v>6.03</v>
      </c>
      <c r="J317" s="75">
        <v>6.09</v>
      </c>
      <c r="K317" s="75">
        <v>6.13</v>
      </c>
      <c r="L317" s="75">
        <v>3.16</v>
      </c>
      <c r="M317" s="75">
        <v>3.2240000000000002</v>
      </c>
      <c r="N317" s="105">
        <v>3.4350000000000001</v>
      </c>
      <c r="O317" s="104">
        <v>12.88</v>
      </c>
      <c r="P317" s="75">
        <v>12.85</v>
      </c>
      <c r="Q317" s="75">
        <v>12.83</v>
      </c>
      <c r="R317" s="75">
        <v>-2.9239999999999999</v>
      </c>
      <c r="S317" s="75">
        <v>-3.0790000000000002</v>
      </c>
      <c r="T317" s="105">
        <v>-2.6779999999999999</v>
      </c>
      <c r="U317" s="104">
        <v>13.19</v>
      </c>
      <c r="V317" s="75">
        <v>13.14</v>
      </c>
      <c r="W317" s="75">
        <v>13.04</v>
      </c>
      <c r="X317" s="75">
        <v>-2.2509999999999999</v>
      </c>
      <c r="Y317" s="75">
        <v>-2.7709999999999999</v>
      </c>
      <c r="Z317" s="105">
        <v>-2.9470000000000001</v>
      </c>
      <c r="AA317" s="104">
        <v>5.82</v>
      </c>
      <c r="AB317" s="75">
        <v>5.86</v>
      </c>
      <c r="AC317" s="75">
        <v>5.89</v>
      </c>
      <c r="AD317" s="75">
        <v>5.91</v>
      </c>
      <c r="AE317" s="75">
        <v>6.1559999999999997</v>
      </c>
      <c r="AF317" s="105">
        <v>6.3949999999999996</v>
      </c>
    </row>
    <row r="318" spans="2:32" x14ac:dyDescent="0.3">
      <c r="B318" s="111">
        <v>52.166666666666465</v>
      </c>
      <c r="C318" s="104">
        <v>6.2</v>
      </c>
      <c r="D318" s="75">
        <v>6.28</v>
      </c>
      <c r="E318" s="75">
        <v>6.32</v>
      </c>
      <c r="F318" s="75">
        <v>1.972</v>
      </c>
      <c r="G318" s="75">
        <v>2.3679999999999999</v>
      </c>
      <c r="H318" s="105">
        <v>2.1960000000000002</v>
      </c>
      <c r="I318" s="104">
        <v>6.09</v>
      </c>
      <c r="J318" s="75">
        <v>6.16</v>
      </c>
      <c r="K318" s="75">
        <v>6.21</v>
      </c>
      <c r="L318" s="75">
        <v>2.298</v>
      </c>
      <c r="M318" s="75">
        <v>3.31</v>
      </c>
      <c r="N318" s="105">
        <v>3.351</v>
      </c>
      <c r="O318" s="104">
        <v>12.8</v>
      </c>
      <c r="P318" s="75">
        <v>12.77</v>
      </c>
      <c r="Q318" s="75">
        <v>12.76</v>
      </c>
      <c r="R318" s="75">
        <v>-2.8239999999999998</v>
      </c>
      <c r="S318" s="75">
        <v>-3.0209999999999999</v>
      </c>
      <c r="T318" s="105">
        <v>-2.7170000000000001</v>
      </c>
      <c r="U318" s="104">
        <v>13.12</v>
      </c>
      <c r="V318" s="75">
        <v>13.07</v>
      </c>
      <c r="W318" s="75">
        <v>12.97</v>
      </c>
      <c r="X318" s="75">
        <v>-2.0640000000000001</v>
      </c>
      <c r="Y318" s="75">
        <v>-2.6230000000000002</v>
      </c>
      <c r="Z318" s="105">
        <v>-2.9849999999999999</v>
      </c>
      <c r="AA318" s="104">
        <v>5.88</v>
      </c>
      <c r="AB318" s="75">
        <v>5.93</v>
      </c>
      <c r="AC318" s="75">
        <v>5.96</v>
      </c>
      <c r="AD318" s="75">
        <v>5.6929999999999996</v>
      </c>
      <c r="AE318" s="75">
        <v>6.4660000000000002</v>
      </c>
      <c r="AF318" s="105">
        <v>6.407</v>
      </c>
    </row>
    <row r="319" spans="2:32" x14ac:dyDescent="0.3">
      <c r="B319" s="111">
        <v>52.33333333333313</v>
      </c>
      <c r="C319" s="104">
        <v>6.27</v>
      </c>
      <c r="D319" s="75">
        <v>6.34</v>
      </c>
      <c r="E319" s="75">
        <v>6.39</v>
      </c>
      <c r="F319" s="75">
        <v>2.1850000000000001</v>
      </c>
      <c r="G319" s="75">
        <v>2.3519999999999999</v>
      </c>
      <c r="H319" s="105">
        <v>2.2189999999999999</v>
      </c>
      <c r="I319" s="104">
        <v>6.16</v>
      </c>
      <c r="J319" s="75">
        <v>6.23</v>
      </c>
      <c r="K319" s="75">
        <v>6.28</v>
      </c>
      <c r="L319" s="75">
        <v>3.141</v>
      </c>
      <c r="M319" s="75">
        <v>3.4119999999999999</v>
      </c>
      <c r="N319" s="105">
        <v>3.3639999999999999</v>
      </c>
      <c r="O319" s="104">
        <v>12.73</v>
      </c>
      <c r="P319" s="75">
        <v>12.71</v>
      </c>
      <c r="Q319" s="75">
        <v>12.68</v>
      </c>
      <c r="R319" s="75">
        <v>-2.7679999999999998</v>
      </c>
      <c r="S319" s="75">
        <v>-2.8250000000000002</v>
      </c>
      <c r="T319" s="105">
        <v>-2.734</v>
      </c>
      <c r="U319" s="104">
        <v>13.05</v>
      </c>
      <c r="V319" s="75">
        <v>13</v>
      </c>
      <c r="W319" s="75">
        <v>12.9</v>
      </c>
      <c r="X319" s="75">
        <v>-2.0089999999999999</v>
      </c>
      <c r="Y319" s="75">
        <v>-2.4129999999999998</v>
      </c>
      <c r="Z319" s="105">
        <v>-3.0249999999999999</v>
      </c>
      <c r="AA319" s="104">
        <v>5.95</v>
      </c>
      <c r="AB319" s="75">
        <v>6</v>
      </c>
      <c r="AC319" s="75">
        <v>6.03</v>
      </c>
      <c r="AD319" s="75">
        <v>5.9450000000000003</v>
      </c>
      <c r="AE319" s="75">
        <v>6.48</v>
      </c>
      <c r="AF319" s="105">
        <v>6.4119999999999999</v>
      </c>
    </row>
    <row r="320" spans="2:32" x14ac:dyDescent="0.3">
      <c r="B320" s="111">
        <v>52.499999999999794</v>
      </c>
      <c r="C320" s="104">
        <v>6.33</v>
      </c>
      <c r="D320" s="75">
        <v>6.41</v>
      </c>
      <c r="E320" s="75">
        <v>6.46</v>
      </c>
      <c r="F320" s="75">
        <v>2.25</v>
      </c>
      <c r="G320" s="75">
        <v>2.302</v>
      </c>
      <c r="H320" s="105">
        <v>2.4239999999999999</v>
      </c>
      <c r="I320" s="104">
        <v>6.23</v>
      </c>
      <c r="J320" s="75">
        <v>6.3</v>
      </c>
      <c r="K320" s="75">
        <v>6.35</v>
      </c>
      <c r="L320" s="75">
        <v>3.3290000000000002</v>
      </c>
      <c r="M320" s="75">
        <v>3.2549999999999999</v>
      </c>
      <c r="N320" s="105">
        <v>3.1970000000000001</v>
      </c>
      <c r="O320" s="104">
        <v>12.65</v>
      </c>
      <c r="P320" s="75">
        <v>12.63</v>
      </c>
      <c r="Q320" s="75">
        <v>12.61</v>
      </c>
      <c r="R320" s="75">
        <v>-2.7280000000000002</v>
      </c>
      <c r="S320" s="75">
        <v>-2.8650000000000002</v>
      </c>
      <c r="T320" s="105">
        <v>-2.8540000000000001</v>
      </c>
      <c r="U320" s="104">
        <v>12.97</v>
      </c>
      <c r="V320" s="75">
        <v>12.93</v>
      </c>
      <c r="W320" s="75">
        <v>12.83</v>
      </c>
      <c r="X320" s="75">
        <v>-1.988</v>
      </c>
      <c r="Y320" s="75">
        <v>-2.3780000000000001</v>
      </c>
      <c r="Z320" s="105">
        <v>-3.1360000000000001</v>
      </c>
      <c r="AA320" s="104">
        <v>6.01</v>
      </c>
      <c r="AB320" s="75">
        <v>6.07</v>
      </c>
      <c r="AC320" s="75">
        <v>6.11</v>
      </c>
      <c r="AD320" s="75">
        <v>6.0650000000000004</v>
      </c>
      <c r="AE320" s="75">
        <v>6.4669999999999996</v>
      </c>
      <c r="AF320" s="105">
        <v>6.7060000000000004</v>
      </c>
    </row>
    <row r="321" spans="2:32" x14ac:dyDescent="0.3">
      <c r="B321" s="111">
        <v>52.666666666666458</v>
      </c>
      <c r="C321" s="104">
        <v>6.4</v>
      </c>
      <c r="D321" s="75">
        <v>6.48</v>
      </c>
      <c r="E321" s="75">
        <v>6.54</v>
      </c>
      <c r="F321" s="75">
        <v>2.4089999999999998</v>
      </c>
      <c r="G321" s="75">
        <v>2.3929999999999998</v>
      </c>
      <c r="H321" s="105">
        <v>3.0379999999999998</v>
      </c>
      <c r="I321" s="104">
        <v>6.3</v>
      </c>
      <c r="J321" s="75">
        <v>6.37</v>
      </c>
      <c r="K321" s="75">
        <v>6.43</v>
      </c>
      <c r="L321" s="75">
        <v>3.3969999999999998</v>
      </c>
      <c r="M321" s="75">
        <v>3.387</v>
      </c>
      <c r="N321" s="105">
        <v>3.4359999999999999</v>
      </c>
      <c r="O321" s="104">
        <v>12.58</v>
      </c>
      <c r="P321" s="75">
        <v>12.56</v>
      </c>
      <c r="Q321" s="75">
        <v>12.54</v>
      </c>
      <c r="R321" s="75">
        <v>-2.851</v>
      </c>
      <c r="S321" s="75">
        <v>-2.7749999999999999</v>
      </c>
      <c r="T321" s="105">
        <v>-2.7530000000000001</v>
      </c>
      <c r="U321" s="104">
        <v>12.9</v>
      </c>
      <c r="V321" s="75">
        <v>12.86</v>
      </c>
      <c r="W321" s="75">
        <v>12.76</v>
      </c>
      <c r="X321" s="75">
        <v>-2.1259999999999999</v>
      </c>
      <c r="Y321" s="75">
        <v>-2.3740000000000001</v>
      </c>
      <c r="Z321" s="105">
        <v>-3.0009999999999999</v>
      </c>
      <c r="AA321" s="104">
        <v>6.08</v>
      </c>
      <c r="AB321" s="75">
        <v>6.13</v>
      </c>
      <c r="AC321" s="75">
        <v>6.18</v>
      </c>
      <c r="AD321" s="75">
        <v>6.327</v>
      </c>
      <c r="AE321" s="75">
        <v>6.6059999999999999</v>
      </c>
      <c r="AF321" s="105">
        <v>7.3470000000000004</v>
      </c>
    </row>
    <row r="322" spans="2:32" x14ac:dyDescent="0.3">
      <c r="B322" s="111">
        <v>52.833333333333123</v>
      </c>
      <c r="C322" s="104">
        <v>6.47</v>
      </c>
      <c r="D322" s="75">
        <v>6.56</v>
      </c>
      <c r="E322" s="75">
        <v>6.63</v>
      </c>
      <c r="F322" s="75">
        <v>2.3889999999999998</v>
      </c>
      <c r="G322" s="75">
        <v>3.0609999999999999</v>
      </c>
      <c r="H322" s="105">
        <v>3.1219999999999999</v>
      </c>
      <c r="I322" s="104">
        <v>6.37</v>
      </c>
      <c r="J322" s="75">
        <v>6.46</v>
      </c>
      <c r="K322" s="75">
        <v>6.52</v>
      </c>
      <c r="L322" s="75">
        <v>3.3820000000000001</v>
      </c>
      <c r="M322" s="75">
        <v>3.302</v>
      </c>
      <c r="N322" s="105">
        <v>4.0410000000000004</v>
      </c>
      <c r="O322" s="104">
        <v>12.51</v>
      </c>
      <c r="P322" s="75">
        <v>12.49</v>
      </c>
      <c r="Q322" s="75">
        <v>12.48</v>
      </c>
      <c r="R322" s="75">
        <v>-2.8149999999999999</v>
      </c>
      <c r="S322" s="75">
        <v>-2.9409999999999998</v>
      </c>
      <c r="T322" s="105">
        <v>-2.706</v>
      </c>
      <c r="U322" s="104">
        <v>12.83</v>
      </c>
      <c r="V322" s="75">
        <v>12.78</v>
      </c>
      <c r="W322" s="75">
        <v>12.69</v>
      </c>
      <c r="X322" s="75">
        <v>-2.052</v>
      </c>
      <c r="Y322" s="75">
        <v>-2.5390000000000001</v>
      </c>
      <c r="Z322" s="105">
        <v>-2.9249999999999998</v>
      </c>
      <c r="AA322" s="104">
        <v>6.14</v>
      </c>
      <c r="AB322" s="75">
        <v>6.22</v>
      </c>
      <c r="AC322" s="75">
        <v>6.26</v>
      </c>
      <c r="AD322" s="75">
        <v>6.3019999999999996</v>
      </c>
      <c r="AE322" s="75">
        <v>7.27</v>
      </c>
      <c r="AF322" s="105">
        <v>7.4880000000000004</v>
      </c>
    </row>
    <row r="323" spans="2:32" x14ac:dyDescent="0.3">
      <c r="B323" s="111">
        <v>52.999999999999787</v>
      </c>
      <c r="C323" s="104">
        <v>6.54</v>
      </c>
      <c r="D323" s="75">
        <v>6.64</v>
      </c>
      <c r="E323" s="75">
        <v>6.7</v>
      </c>
      <c r="F323" s="75">
        <v>2.65</v>
      </c>
      <c r="G323" s="75">
        <v>3.1880000000000002</v>
      </c>
      <c r="H323" s="105">
        <v>2.988</v>
      </c>
      <c r="I323" s="104">
        <v>6.44</v>
      </c>
      <c r="J323" s="75">
        <v>6.54</v>
      </c>
      <c r="K323" s="75">
        <v>6.6</v>
      </c>
      <c r="L323" s="75">
        <v>3.2879999999999998</v>
      </c>
      <c r="M323" s="75">
        <v>4.0060000000000002</v>
      </c>
      <c r="N323" s="105">
        <v>3.867</v>
      </c>
      <c r="O323" s="104">
        <v>12.44</v>
      </c>
      <c r="P323" s="75">
        <v>12.42</v>
      </c>
      <c r="Q323" s="75">
        <v>12.4</v>
      </c>
      <c r="R323" s="75">
        <v>-2.7450000000000001</v>
      </c>
      <c r="S323" s="75">
        <v>-2.7719999999999998</v>
      </c>
      <c r="T323" s="105">
        <v>-2.738</v>
      </c>
      <c r="U323" s="104">
        <v>12.76</v>
      </c>
      <c r="V323" s="75">
        <v>12.72</v>
      </c>
      <c r="W323" s="75">
        <v>12.62</v>
      </c>
      <c r="X323" s="75">
        <v>-1.9430000000000001</v>
      </c>
      <c r="Y323" s="75">
        <v>-2.226</v>
      </c>
      <c r="Z323" s="105">
        <v>-2.9279999999999999</v>
      </c>
      <c r="AA323" s="104">
        <v>6.21</v>
      </c>
      <c r="AB323" s="75">
        <v>6.3</v>
      </c>
      <c r="AC323" s="75">
        <v>6.33</v>
      </c>
      <c r="AD323" s="75">
        <v>6.59</v>
      </c>
      <c r="AE323" s="75">
        <v>7.4210000000000003</v>
      </c>
      <c r="AF323" s="105">
        <v>7.4210000000000003</v>
      </c>
    </row>
    <row r="324" spans="2:32" x14ac:dyDescent="0.3">
      <c r="B324" s="111">
        <v>53.166666666666451</v>
      </c>
      <c r="C324" s="104">
        <v>6.62</v>
      </c>
      <c r="D324" s="75">
        <v>6.71</v>
      </c>
      <c r="E324" s="75">
        <v>6.78</v>
      </c>
      <c r="F324" s="75">
        <v>2.9790000000000001</v>
      </c>
      <c r="G324" s="75">
        <v>3.0649999999999999</v>
      </c>
      <c r="H324" s="105">
        <v>3.0710000000000002</v>
      </c>
      <c r="I324" s="104">
        <v>6.53</v>
      </c>
      <c r="J324" s="75">
        <v>6.62</v>
      </c>
      <c r="K324" s="75">
        <v>6.68</v>
      </c>
      <c r="L324" s="75">
        <v>3.5609999999999999</v>
      </c>
      <c r="M324" s="75">
        <v>3.8980000000000001</v>
      </c>
      <c r="N324" s="105">
        <v>3.7069999999999999</v>
      </c>
      <c r="O324" s="104">
        <v>12.34</v>
      </c>
      <c r="P324" s="75">
        <v>12.33</v>
      </c>
      <c r="Q324" s="75">
        <v>12.31</v>
      </c>
      <c r="R324" s="75">
        <v>-3.331</v>
      </c>
      <c r="S324" s="75">
        <v>-3.2210000000000001</v>
      </c>
      <c r="T324" s="105">
        <v>-3.2730000000000001</v>
      </c>
      <c r="U324" s="104">
        <v>12.67</v>
      </c>
      <c r="V324" s="75">
        <v>12.64</v>
      </c>
      <c r="W324" s="75">
        <v>12.53</v>
      </c>
      <c r="X324" s="75">
        <v>-2.5209999999999999</v>
      </c>
      <c r="Y324" s="75">
        <v>-2.734</v>
      </c>
      <c r="Z324" s="105">
        <v>-3.4930000000000003</v>
      </c>
      <c r="AA324" s="104">
        <v>6.29</v>
      </c>
      <c r="AB324" s="75">
        <v>6.36</v>
      </c>
      <c r="AC324" s="75">
        <v>6.41</v>
      </c>
      <c r="AD324" s="75">
        <v>6.9980000000000002</v>
      </c>
      <c r="AE324" s="75">
        <v>7.36</v>
      </c>
      <c r="AF324" s="105">
        <v>7.53</v>
      </c>
    </row>
    <row r="325" spans="2:32" x14ac:dyDescent="0.3">
      <c r="B325" s="111">
        <v>53.333333333333115</v>
      </c>
      <c r="C325" s="104">
        <v>6.7</v>
      </c>
      <c r="D325" s="75">
        <v>6.78</v>
      </c>
      <c r="E325" s="75">
        <v>6.85</v>
      </c>
      <c r="F325" s="75">
        <v>3.0529999999999999</v>
      </c>
      <c r="G325" s="75">
        <v>2.9710000000000001</v>
      </c>
      <c r="H325" s="105">
        <v>3.1749999999999998</v>
      </c>
      <c r="I325" s="104">
        <v>6.61</v>
      </c>
      <c r="J325" s="75">
        <v>6.69</v>
      </c>
      <c r="K325" s="75">
        <v>6.76</v>
      </c>
      <c r="L325" s="75">
        <v>3.7679999999999998</v>
      </c>
      <c r="M325" s="75">
        <v>3.7269999999999999</v>
      </c>
      <c r="N325" s="105">
        <v>3.7080000000000002</v>
      </c>
      <c r="O325" s="104">
        <v>12.25</v>
      </c>
      <c r="P325" s="75">
        <v>12.25</v>
      </c>
      <c r="Q325" s="75">
        <v>12.22</v>
      </c>
      <c r="R325" s="75">
        <v>-3.19</v>
      </c>
      <c r="S325" s="75">
        <v>-3.113</v>
      </c>
      <c r="T325" s="105">
        <v>-3.1669999999999998</v>
      </c>
      <c r="U325" s="104">
        <v>12.58</v>
      </c>
      <c r="V325" s="75">
        <v>12.55</v>
      </c>
      <c r="W325" s="75">
        <v>12.45</v>
      </c>
      <c r="X325" s="75">
        <v>-2.3439999999999999</v>
      </c>
      <c r="Y325" s="75">
        <v>-2.617</v>
      </c>
      <c r="Z325" s="105">
        <v>-3.3330000000000002</v>
      </c>
      <c r="AA325" s="104">
        <v>6.37</v>
      </c>
      <c r="AB325" s="75">
        <v>6.43</v>
      </c>
      <c r="AC325" s="75">
        <v>6.48</v>
      </c>
      <c r="AD325" s="75">
        <v>7.15</v>
      </c>
      <c r="AE325" s="75">
        <v>7.282</v>
      </c>
      <c r="AF325" s="105">
        <v>7.718</v>
      </c>
    </row>
    <row r="326" spans="2:32" x14ac:dyDescent="0.3">
      <c r="B326" s="111">
        <v>53.49999999999978</v>
      </c>
      <c r="C326" s="104">
        <v>6.76</v>
      </c>
      <c r="D326" s="75">
        <v>6.85</v>
      </c>
      <c r="E326" s="75">
        <v>6.91</v>
      </c>
      <c r="F326" s="75">
        <v>3.0830000000000002</v>
      </c>
      <c r="G326" s="75">
        <v>3.1850000000000001</v>
      </c>
      <c r="H326" s="105">
        <v>3.1880000000000002</v>
      </c>
      <c r="I326" s="104">
        <v>6.68</v>
      </c>
      <c r="J326" s="75">
        <v>6.77</v>
      </c>
      <c r="K326" s="75">
        <v>6.83</v>
      </c>
      <c r="L326" s="75">
        <v>3.8479999999999999</v>
      </c>
      <c r="M326" s="75">
        <v>3.4380000000000002</v>
      </c>
      <c r="N326" s="105">
        <v>3.7559999999999998</v>
      </c>
      <c r="O326" s="104">
        <v>12.18</v>
      </c>
      <c r="P326" s="75">
        <v>12.17</v>
      </c>
      <c r="Q326" s="75">
        <v>12.14</v>
      </c>
      <c r="R326" s="75">
        <v>-2.9649999999999999</v>
      </c>
      <c r="S326" s="75">
        <v>-2.9620000000000002</v>
      </c>
      <c r="T326" s="105">
        <v>-3.0390000000000001</v>
      </c>
      <c r="U326" s="104">
        <v>12.51</v>
      </c>
      <c r="V326" s="75">
        <v>12.47</v>
      </c>
      <c r="W326" s="75">
        <v>12.38</v>
      </c>
      <c r="X326" s="75">
        <v>-2.085</v>
      </c>
      <c r="Y326" s="75">
        <v>-2.3860000000000001</v>
      </c>
      <c r="Z326" s="105">
        <v>-3.1719999999999997</v>
      </c>
      <c r="AA326" s="104">
        <v>6.43</v>
      </c>
      <c r="AB326" s="75">
        <v>6.5</v>
      </c>
      <c r="AC326" s="75">
        <v>6.54</v>
      </c>
      <c r="AD326" s="75">
        <v>7.258</v>
      </c>
      <c r="AE326" s="75">
        <v>7.5970000000000004</v>
      </c>
      <c r="AF326" s="105">
        <v>7.7229999999999999</v>
      </c>
    </row>
    <row r="327" spans="2:32" x14ac:dyDescent="0.3">
      <c r="B327" s="111">
        <v>53.666666666666444</v>
      </c>
      <c r="C327" s="104">
        <v>6.83</v>
      </c>
      <c r="D327" s="75">
        <v>6.92</v>
      </c>
      <c r="E327" s="75">
        <v>6.98</v>
      </c>
      <c r="F327" s="75">
        <v>2.9849999999999999</v>
      </c>
      <c r="G327" s="75">
        <v>3.3220000000000001</v>
      </c>
      <c r="H327" s="105">
        <v>3.1930000000000001</v>
      </c>
      <c r="I327" s="104">
        <v>6.76</v>
      </c>
      <c r="J327" s="75">
        <v>6.85</v>
      </c>
      <c r="K327" s="75">
        <v>6.91</v>
      </c>
      <c r="L327" s="75">
        <v>3.621</v>
      </c>
      <c r="M327" s="75">
        <v>3.65</v>
      </c>
      <c r="N327" s="105">
        <v>3.5710000000000002</v>
      </c>
      <c r="O327" s="104">
        <v>12.11</v>
      </c>
      <c r="P327" s="75">
        <v>12.09</v>
      </c>
      <c r="Q327" s="75">
        <v>12.07</v>
      </c>
      <c r="R327" s="75">
        <v>-2.7320000000000002</v>
      </c>
      <c r="S327" s="75">
        <v>-2.9889999999999999</v>
      </c>
      <c r="T327" s="105">
        <v>-2.9350000000000001</v>
      </c>
      <c r="U327" s="104">
        <v>12.44</v>
      </c>
      <c r="V327" s="75">
        <v>12.4</v>
      </c>
      <c r="W327" s="75">
        <v>12.3</v>
      </c>
      <c r="X327" s="75">
        <v>-1.8580000000000001</v>
      </c>
      <c r="Y327" s="75">
        <v>-2.3759999999999999</v>
      </c>
      <c r="Z327" s="105">
        <v>-3.0739999999999998</v>
      </c>
      <c r="AA327" s="104">
        <v>6.49</v>
      </c>
      <c r="AB327" s="75">
        <v>6.57</v>
      </c>
      <c r="AC327" s="75">
        <v>6.61</v>
      </c>
      <c r="AD327" s="75">
        <v>7.2</v>
      </c>
      <c r="AE327" s="75">
        <v>7.7450000000000001</v>
      </c>
      <c r="AF327" s="105">
        <v>7.7990000000000004</v>
      </c>
    </row>
    <row r="328" spans="2:32" x14ac:dyDescent="0.3">
      <c r="B328" s="111">
        <v>53.833333333333108</v>
      </c>
      <c r="C328" s="104">
        <v>6.89</v>
      </c>
      <c r="D328" s="75">
        <v>7</v>
      </c>
      <c r="E328" s="75">
        <v>7.05</v>
      </c>
      <c r="F328" s="75">
        <v>3.0390000000000001</v>
      </c>
      <c r="G328" s="75">
        <v>3.4159999999999999</v>
      </c>
      <c r="H328" s="105">
        <v>3.3620000000000001</v>
      </c>
      <c r="I328" s="104">
        <v>6.83</v>
      </c>
      <c r="J328" s="75">
        <v>6.92</v>
      </c>
      <c r="K328" s="75">
        <v>6.98</v>
      </c>
      <c r="L328" s="75">
        <v>3.4889999999999999</v>
      </c>
      <c r="M328" s="75">
        <v>3.6640000000000001</v>
      </c>
      <c r="N328" s="105">
        <v>3.4159999999999999</v>
      </c>
      <c r="O328" s="104">
        <v>12.03</v>
      </c>
      <c r="P328" s="75">
        <v>12.01</v>
      </c>
      <c r="Q328" s="75">
        <v>11.99</v>
      </c>
      <c r="R328" s="75">
        <v>-2.79</v>
      </c>
      <c r="S328" s="75">
        <v>-3.0529999999999999</v>
      </c>
      <c r="T328" s="105">
        <v>-2.8650000000000002</v>
      </c>
      <c r="U328" s="104">
        <v>12.36</v>
      </c>
      <c r="V328" s="75">
        <v>12.32</v>
      </c>
      <c r="W328" s="75">
        <v>12.23</v>
      </c>
      <c r="X328" s="75">
        <v>-1.9730000000000001</v>
      </c>
      <c r="Y328" s="75">
        <v>-2.4369999999999998</v>
      </c>
      <c r="Z328" s="105">
        <v>-2.9750000000000001</v>
      </c>
      <c r="AA328" s="104">
        <v>6.56</v>
      </c>
      <c r="AB328" s="75">
        <v>6.64</v>
      </c>
      <c r="AC328" s="75">
        <v>6.68</v>
      </c>
      <c r="AD328" s="75">
        <v>7.2880000000000003</v>
      </c>
      <c r="AE328" s="75">
        <v>7.8879999999999999</v>
      </c>
      <c r="AF328" s="105">
        <v>8.02</v>
      </c>
    </row>
    <row r="329" spans="2:32" x14ac:dyDescent="0.3">
      <c r="B329" s="111">
        <v>53.999999999999773</v>
      </c>
      <c r="C329" s="104">
        <v>6.97</v>
      </c>
      <c r="D329" s="75">
        <v>7.07</v>
      </c>
      <c r="E329" s="75">
        <v>7.13</v>
      </c>
      <c r="F329" s="75">
        <v>3.3380000000000001</v>
      </c>
      <c r="G329" s="75">
        <v>3.4780000000000002</v>
      </c>
      <c r="H329" s="105">
        <v>3.5739999999999998</v>
      </c>
      <c r="I329" s="104">
        <v>6.9</v>
      </c>
      <c r="J329" s="75">
        <v>7</v>
      </c>
      <c r="K329" s="75">
        <v>7.06</v>
      </c>
      <c r="L329" s="75">
        <v>3.3860000000000001</v>
      </c>
      <c r="M329" s="75">
        <v>3.6520000000000001</v>
      </c>
      <c r="N329" s="105">
        <v>3.5979999999999999</v>
      </c>
      <c r="O329" s="104">
        <v>11.95</v>
      </c>
      <c r="P329" s="75">
        <v>11.94</v>
      </c>
      <c r="Q329" s="75">
        <v>11.91</v>
      </c>
      <c r="R329" s="75">
        <v>-3.0059999999999998</v>
      </c>
      <c r="S329" s="75">
        <v>-2.782</v>
      </c>
      <c r="T329" s="105">
        <v>-2.97</v>
      </c>
      <c r="U329" s="104">
        <v>12.28</v>
      </c>
      <c r="V329" s="75">
        <v>12.25</v>
      </c>
      <c r="W329" s="75">
        <v>12.15</v>
      </c>
      <c r="X329" s="75">
        <v>-2.1080000000000001</v>
      </c>
      <c r="Y329" s="75">
        <v>-2.137</v>
      </c>
      <c r="Z329" s="105">
        <v>-2.9689999999999999</v>
      </c>
      <c r="AA329" s="104">
        <v>6.63</v>
      </c>
      <c r="AB329" s="75">
        <v>6.71</v>
      </c>
      <c r="AC329" s="75">
        <v>6.75</v>
      </c>
      <c r="AD329" s="75">
        <v>7.5949999999999998</v>
      </c>
      <c r="AE329" s="75">
        <v>7.9240000000000004</v>
      </c>
      <c r="AF329" s="105">
        <v>8.19</v>
      </c>
    </row>
    <row r="330" spans="2:32" x14ac:dyDescent="0.3">
      <c r="B330" s="111">
        <v>54.166666666666437</v>
      </c>
      <c r="C330" s="104">
        <v>7.03</v>
      </c>
      <c r="D330" s="75">
        <v>7.14</v>
      </c>
      <c r="E330" s="75">
        <v>7.19</v>
      </c>
      <c r="F330" s="75">
        <v>3.423</v>
      </c>
      <c r="G330" s="75">
        <v>3.573</v>
      </c>
      <c r="H330" s="105">
        <v>3.5870000000000002</v>
      </c>
      <c r="I330" s="104">
        <v>6.97</v>
      </c>
      <c r="J330" s="75">
        <v>7.08</v>
      </c>
      <c r="K330" s="75">
        <v>7.13</v>
      </c>
      <c r="L330" s="75">
        <v>3.5750000000000002</v>
      </c>
      <c r="M330" s="75">
        <v>3.6280000000000001</v>
      </c>
      <c r="N330" s="105">
        <v>3.6909999999999998</v>
      </c>
      <c r="O330" s="104">
        <v>11.88</v>
      </c>
      <c r="P330" s="75">
        <v>11.87</v>
      </c>
      <c r="Q330" s="75">
        <v>11.84</v>
      </c>
      <c r="R330" s="75">
        <v>-2.9119999999999999</v>
      </c>
      <c r="S330" s="75">
        <v>-2.891</v>
      </c>
      <c r="T330" s="105">
        <v>-2.9340000000000002</v>
      </c>
      <c r="U330" s="104">
        <v>12.21</v>
      </c>
      <c r="V330" s="75">
        <v>12.18</v>
      </c>
      <c r="W330" s="75">
        <v>12.08</v>
      </c>
      <c r="X330" s="75">
        <v>-1.986</v>
      </c>
      <c r="Y330" s="75">
        <v>-2.222</v>
      </c>
      <c r="Z330" s="105">
        <v>-2.8890000000000002</v>
      </c>
      <c r="AA330" s="104">
        <v>6.69</v>
      </c>
      <c r="AB330" s="75">
        <v>6.79</v>
      </c>
      <c r="AC330" s="75">
        <v>6.81</v>
      </c>
      <c r="AD330" s="75">
        <v>7.7430000000000003</v>
      </c>
      <c r="AE330" s="75">
        <v>8.1199999999999992</v>
      </c>
      <c r="AF330" s="105">
        <v>8.23</v>
      </c>
    </row>
    <row r="331" spans="2:32" x14ac:dyDescent="0.3">
      <c r="B331" s="111">
        <v>54.333333333333101</v>
      </c>
      <c r="C331" s="104">
        <v>7.09</v>
      </c>
      <c r="D331" s="75">
        <v>7.21</v>
      </c>
      <c r="E331" s="75">
        <v>7.26</v>
      </c>
      <c r="F331" s="75">
        <v>3.4289999999999998</v>
      </c>
      <c r="G331" s="75">
        <v>3.7930000000000001</v>
      </c>
      <c r="H331" s="105">
        <v>3.6139999999999999</v>
      </c>
      <c r="I331" s="104">
        <v>7.03</v>
      </c>
      <c r="J331" s="75">
        <v>7.16</v>
      </c>
      <c r="K331" s="75">
        <v>7.2</v>
      </c>
      <c r="L331" s="75">
        <v>3.52</v>
      </c>
      <c r="M331" s="75">
        <v>3.5920000000000001</v>
      </c>
      <c r="N331" s="105">
        <v>3.6549999999999998</v>
      </c>
      <c r="O331" s="104">
        <v>11.81</v>
      </c>
      <c r="P331" s="75">
        <v>11.8</v>
      </c>
      <c r="Q331" s="75">
        <v>11.77</v>
      </c>
      <c r="R331" s="75">
        <v>-2.7959999999999998</v>
      </c>
      <c r="S331" s="75">
        <v>-2.7410000000000001</v>
      </c>
      <c r="T331" s="105">
        <v>-2.7589999999999999</v>
      </c>
      <c r="U331" s="104">
        <v>12.14</v>
      </c>
      <c r="V331" s="75">
        <v>12.11</v>
      </c>
      <c r="W331" s="75">
        <v>12.01</v>
      </c>
      <c r="X331" s="75">
        <v>-1.8580000000000001</v>
      </c>
      <c r="Y331" s="75">
        <v>-2.0339999999999998</v>
      </c>
      <c r="Z331" s="105">
        <v>-2.7229999999999999</v>
      </c>
      <c r="AA331" s="104">
        <v>6.75</v>
      </c>
      <c r="AB331" s="75">
        <v>6.85</v>
      </c>
      <c r="AC331" s="75">
        <v>6.88</v>
      </c>
      <c r="AD331" s="75">
        <v>7.7919999999999998</v>
      </c>
      <c r="AE331" s="75">
        <v>8.3699999999999992</v>
      </c>
      <c r="AF331" s="105">
        <v>8.35</v>
      </c>
    </row>
    <row r="332" spans="2:32" x14ac:dyDescent="0.3">
      <c r="B332" s="111">
        <v>54.499999999999766</v>
      </c>
      <c r="C332" s="104">
        <v>7.16</v>
      </c>
      <c r="D332" s="75">
        <v>7.28</v>
      </c>
      <c r="E332" s="75">
        <v>7.32</v>
      </c>
      <c r="F332" s="75">
        <v>3.4929999999999999</v>
      </c>
      <c r="G332" s="75">
        <v>3.8479999999999999</v>
      </c>
      <c r="H332" s="105">
        <v>3.7949999999999999</v>
      </c>
      <c r="I332" s="104">
        <v>7.11</v>
      </c>
      <c r="J332" s="75">
        <v>7.22</v>
      </c>
      <c r="K332" s="75">
        <v>7.27</v>
      </c>
      <c r="L332" s="75">
        <v>3.427</v>
      </c>
      <c r="M332" s="75">
        <v>3.6930000000000001</v>
      </c>
      <c r="N332" s="105">
        <v>3.4689999999999999</v>
      </c>
      <c r="O332" s="104">
        <v>11.73</v>
      </c>
      <c r="P332" s="75">
        <v>11.72</v>
      </c>
      <c r="Q332" s="75">
        <v>11.7</v>
      </c>
      <c r="R332" s="75">
        <v>-2.6859999999999999</v>
      </c>
      <c r="S332" s="75">
        <v>-2.8330000000000002</v>
      </c>
      <c r="T332" s="105">
        <v>-2.6509999999999998</v>
      </c>
      <c r="U332" s="104">
        <v>12.07</v>
      </c>
      <c r="V332" s="75">
        <v>12.04</v>
      </c>
      <c r="W332" s="75">
        <v>11.95</v>
      </c>
      <c r="X332" s="75">
        <v>-1.6990000000000001</v>
      </c>
      <c r="Y332" s="75">
        <v>-2.117</v>
      </c>
      <c r="Z332" s="105">
        <v>-2.58</v>
      </c>
      <c r="AA332" s="104">
        <v>6.82</v>
      </c>
      <c r="AB332" s="75">
        <v>6.92</v>
      </c>
      <c r="AC332" s="75">
        <v>6.94</v>
      </c>
      <c r="AD332" s="75">
        <v>7.8620000000000001</v>
      </c>
      <c r="AE332" s="75">
        <v>8.5</v>
      </c>
      <c r="AF332" s="105">
        <v>8.5399999999999991</v>
      </c>
    </row>
    <row r="333" spans="2:32" x14ac:dyDescent="0.3">
      <c r="B333" s="111">
        <v>54.66666666666643</v>
      </c>
      <c r="C333" s="104">
        <v>7.22</v>
      </c>
      <c r="D333" s="75">
        <v>7.34</v>
      </c>
      <c r="E333" s="75">
        <v>7.4</v>
      </c>
      <c r="F333" s="75">
        <v>3.6059999999999999</v>
      </c>
      <c r="G333" s="75">
        <v>3.8460000000000001</v>
      </c>
      <c r="H333" s="105">
        <v>4.1459999999999999</v>
      </c>
      <c r="I333" s="104">
        <v>7.18</v>
      </c>
      <c r="J333" s="75">
        <v>7.29</v>
      </c>
      <c r="K333" s="75">
        <v>7.35</v>
      </c>
      <c r="L333" s="75">
        <v>3.504</v>
      </c>
      <c r="M333" s="75">
        <v>3.5489999999999999</v>
      </c>
      <c r="N333" s="105">
        <v>3.62</v>
      </c>
      <c r="O333" s="104">
        <v>11.66</v>
      </c>
      <c r="P333" s="75">
        <v>11.65</v>
      </c>
      <c r="Q333" s="75">
        <v>11.63</v>
      </c>
      <c r="R333" s="75">
        <v>-2.786</v>
      </c>
      <c r="S333" s="75">
        <v>-2.706</v>
      </c>
      <c r="T333" s="105">
        <v>-2.69</v>
      </c>
      <c r="U333" s="104">
        <v>12</v>
      </c>
      <c r="V333" s="75">
        <v>11.97</v>
      </c>
      <c r="W333" s="75">
        <v>11.88</v>
      </c>
      <c r="X333" s="75">
        <v>-1.776</v>
      </c>
      <c r="Y333" s="75">
        <v>-1.992</v>
      </c>
      <c r="Z333" s="105">
        <v>-2.633</v>
      </c>
      <c r="AA333" s="104">
        <v>6.88</v>
      </c>
      <c r="AB333" s="75">
        <v>6.98</v>
      </c>
      <c r="AC333" s="75">
        <v>7.01</v>
      </c>
      <c r="AD333" s="75">
        <v>8</v>
      </c>
      <c r="AE333" s="75">
        <v>8.5</v>
      </c>
      <c r="AF333" s="105">
        <v>8.91</v>
      </c>
    </row>
    <row r="334" spans="2:32" x14ac:dyDescent="0.3">
      <c r="B334" s="111">
        <v>54.833333333333094</v>
      </c>
      <c r="C334" s="104">
        <v>7.29</v>
      </c>
      <c r="D334" s="75">
        <v>7.4</v>
      </c>
      <c r="E334" s="75">
        <v>7.46</v>
      </c>
      <c r="F334" s="75">
        <v>3.8660000000000001</v>
      </c>
      <c r="G334" s="75">
        <v>3.8559999999999999</v>
      </c>
      <c r="H334" s="105">
        <v>4.1230000000000002</v>
      </c>
      <c r="I334" s="104">
        <v>7.25</v>
      </c>
      <c r="J334" s="75">
        <v>7.36</v>
      </c>
      <c r="K334" s="75">
        <v>7.42</v>
      </c>
      <c r="L334" s="75">
        <v>3.492</v>
      </c>
      <c r="M334" s="75">
        <v>3.4609999999999999</v>
      </c>
      <c r="N334" s="105">
        <v>3.8479999999999999</v>
      </c>
      <c r="O334" s="104">
        <v>11.6</v>
      </c>
      <c r="P334" s="75">
        <v>11.59</v>
      </c>
      <c r="Q334" s="75">
        <v>11.56</v>
      </c>
      <c r="R334" s="75">
        <v>-2.8109999999999999</v>
      </c>
      <c r="S334" s="75">
        <v>-2.7050000000000001</v>
      </c>
      <c r="T334" s="105">
        <v>-2.8450000000000002</v>
      </c>
      <c r="U334" s="104">
        <v>11.93</v>
      </c>
      <c r="V334" s="75">
        <v>11.9</v>
      </c>
      <c r="W334" s="75">
        <v>11.81</v>
      </c>
      <c r="X334" s="75">
        <v>-1.8160000000000001</v>
      </c>
      <c r="Y334" s="75">
        <v>-1.968</v>
      </c>
      <c r="Z334" s="105">
        <v>-2.766</v>
      </c>
      <c r="AA334" s="104">
        <v>6.94</v>
      </c>
      <c r="AB334" s="75">
        <v>7.04</v>
      </c>
      <c r="AC334" s="75">
        <v>7.07</v>
      </c>
      <c r="AD334" s="75">
        <v>8.32</v>
      </c>
      <c r="AE334" s="75">
        <v>8.58</v>
      </c>
      <c r="AF334" s="105">
        <v>8.9499999999999993</v>
      </c>
    </row>
    <row r="335" spans="2:32" x14ac:dyDescent="0.3">
      <c r="B335" s="111">
        <v>54.999999999999758</v>
      </c>
      <c r="C335" s="104">
        <v>7.35</v>
      </c>
      <c r="D335" s="75">
        <v>7.46</v>
      </c>
      <c r="E335" s="75">
        <v>7.52</v>
      </c>
      <c r="F335" s="75">
        <v>4.0599999999999996</v>
      </c>
      <c r="G335" s="75">
        <v>4.08</v>
      </c>
      <c r="H335" s="105">
        <v>4.2370000000000001</v>
      </c>
      <c r="I335" s="104">
        <v>7.32</v>
      </c>
      <c r="J335" s="75">
        <v>7.43</v>
      </c>
      <c r="K335" s="75">
        <v>7.49</v>
      </c>
      <c r="L335" s="75">
        <v>3.6970000000000001</v>
      </c>
      <c r="M335" s="75">
        <v>3.5419999999999998</v>
      </c>
      <c r="N335" s="105">
        <v>3.7029999999999998</v>
      </c>
      <c r="O335" s="104">
        <v>11.53</v>
      </c>
      <c r="P335" s="75">
        <v>11.51</v>
      </c>
      <c r="Q335" s="75">
        <v>11.48</v>
      </c>
      <c r="R335" s="75">
        <v>-2.7170000000000001</v>
      </c>
      <c r="S335" s="75">
        <v>-2.9140000000000001</v>
      </c>
      <c r="T335" s="105">
        <v>-2.851</v>
      </c>
      <c r="U335" s="104">
        <v>11.86</v>
      </c>
      <c r="V335" s="75">
        <v>11.82</v>
      </c>
      <c r="W335" s="75">
        <v>11.74</v>
      </c>
      <c r="X335" s="75">
        <v>-1.724</v>
      </c>
      <c r="Y335" s="75">
        <v>-2.1960000000000002</v>
      </c>
      <c r="Z335" s="105">
        <v>-2.6890000000000001</v>
      </c>
      <c r="AA335" s="104">
        <v>7.01</v>
      </c>
      <c r="AB335" s="75">
        <v>7.1</v>
      </c>
      <c r="AC335" s="75">
        <v>7.13</v>
      </c>
      <c r="AD335" s="75">
        <v>8.5399999999999991</v>
      </c>
      <c r="AE335" s="75">
        <v>8.7899999999999991</v>
      </c>
      <c r="AF335" s="105">
        <v>9.09</v>
      </c>
    </row>
    <row r="336" spans="2:32" x14ac:dyDescent="0.3">
      <c r="B336" s="111">
        <v>55.166666666666423</v>
      </c>
      <c r="C336" s="104">
        <v>7.43</v>
      </c>
      <c r="D336" s="75">
        <v>7.52</v>
      </c>
      <c r="E336" s="75">
        <v>7.59</v>
      </c>
      <c r="F336" s="75">
        <v>4.1849999999999996</v>
      </c>
      <c r="G336" s="75">
        <v>4.048</v>
      </c>
      <c r="H336" s="105">
        <v>4.4039999999999999</v>
      </c>
      <c r="I336" s="104">
        <v>7.4</v>
      </c>
      <c r="J336" s="75">
        <v>7.5</v>
      </c>
      <c r="K336" s="75">
        <v>7.56</v>
      </c>
      <c r="L336" s="75">
        <v>3.7389999999999999</v>
      </c>
      <c r="M336" s="75">
        <v>3.585</v>
      </c>
      <c r="N336" s="105">
        <v>3.5139999999999998</v>
      </c>
      <c r="O336" s="104">
        <v>11.46</v>
      </c>
      <c r="P336" s="75">
        <v>11.44</v>
      </c>
      <c r="Q336" s="75">
        <v>11.41</v>
      </c>
      <c r="R336" s="75">
        <v>-2.6709999999999998</v>
      </c>
      <c r="S336" s="75">
        <v>-2.738</v>
      </c>
      <c r="T336" s="105">
        <v>-2.843</v>
      </c>
      <c r="U336" s="104">
        <v>11.8</v>
      </c>
      <c r="V336" s="75">
        <v>11.75</v>
      </c>
      <c r="W336" s="75">
        <v>11.67</v>
      </c>
      <c r="X336" s="75">
        <v>-1.6759999999999999</v>
      </c>
      <c r="Y336" s="75">
        <v>-1.9690000000000001</v>
      </c>
      <c r="Z336" s="105">
        <v>-2.74</v>
      </c>
      <c r="AA336" s="104">
        <v>7.08</v>
      </c>
      <c r="AB336" s="75">
        <v>7.16</v>
      </c>
      <c r="AC336" s="75">
        <v>7.2</v>
      </c>
      <c r="AD336" s="75">
        <v>8.6999999999999993</v>
      </c>
      <c r="AE336" s="75">
        <v>8.8000000000000007</v>
      </c>
      <c r="AF336" s="105">
        <v>9.27</v>
      </c>
    </row>
    <row r="337" spans="2:32" x14ac:dyDescent="0.3">
      <c r="B337" s="111">
        <v>55.333333333333087</v>
      </c>
      <c r="C337" s="104">
        <v>7.49</v>
      </c>
      <c r="D337" s="75">
        <v>7.58</v>
      </c>
      <c r="E337" s="75">
        <v>7.67</v>
      </c>
      <c r="F337" s="75">
        <v>4.2640000000000002</v>
      </c>
      <c r="G337" s="75">
        <v>4.2300000000000004</v>
      </c>
      <c r="H337" s="105">
        <v>5.298</v>
      </c>
      <c r="I337" s="104">
        <v>7.46</v>
      </c>
      <c r="J337" s="75">
        <v>7.56</v>
      </c>
      <c r="K337" s="75">
        <v>7.65</v>
      </c>
      <c r="L337" s="75">
        <v>3.609</v>
      </c>
      <c r="M337" s="75">
        <v>3.3050000000000002</v>
      </c>
      <c r="N337" s="105">
        <v>3.5129999999999999</v>
      </c>
      <c r="O337" s="104">
        <v>11.38</v>
      </c>
      <c r="P337" s="75">
        <v>11.38</v>
      </c>
      <c r="Q337" s="75">
        <v>11.34</v>
      </c>
      <c r="R337" s="75">
        <v>-2.81</v>
      </c>
      <c r="S337" s="75">
        <v>-2.5739999999999998</v>
      </c>
      <c r="T337" s="105">
        <v>-2.798</v>
      </c>
      <c r="U337" s="104">
        <v>11.72</v>
      </c>
      <c r="V337" s="75">
        <v>11.69</v>
      </c>
      <c r="W337" s="75">
        <v>11.6</v>
      </c>
      <c r="X337" s="75">
        <v>-1.863</v>
      </c>
      <c r="Y337" s="75">
        <v>-1.6919999999999999</v>
      </c>
      <c r="Z337" s="105">
        <v>-2.62</v>
      </c>
      <c r="AA337" s="104">
        <v>7.14</v>
      </c>
      <c r="AB337" s="75">
        <v>7.22</v>
      </c>
      <c r="AC337" s="75">
        <v>7.28</v>
      </c>
      <c r="AD337" s="75">
        <v>8.7899999999999991</v>
      </c>
      <c r="AE337" s="75">
        <v>8.98</v>
      </c>
      <c r="AF337" s="105">
        <v>10.17</v>
      </c>
    </row>
    <row r="338" spans="2:32" x14ac:dyDescent="0.3">
      <c r="B338" s="111">
        <v>55.499999999999751</v>
      </c>
      <c r="C338" s="104">
        <v>7.56</v>
      </c>
      <c r="D338" s="75">
        <v>7.65</v>
      </c>
      <c r="E338" s="75">
        <v>7.75</v>
      </c>
      <c r="F338" s="75">
        <v>4.5750000000000002</v>
      </c>
      <c r="G338" s="75">
        <v>4.6020000000000003</v>
      </c>
      <c r="H338" s="105">
        <v>5.4160000000000004</v>
      </c>
      <c r="I338" s="104">
        <v>7.54</v>
      </c>
      <c r="J338" s="75">
        <v>7.63</v>
      </c>
      <c r="K338" s="75">
        <v>7.73</v>
      </c>
      <c r="L338" s="75">
        <v>3.484</v>
      </c>
      <c r="M338" s="75">
        <v>3.3580000000000001</v>
      </c>
      <c r="N338" s="105">
        <v>4.34</v>
      </c>
      <c r="O338" s="104">
        <v>11.3</v>
      </c>
      <c r="P338" s="75">
        <v>11.3</v>
      </c>
      <c r="Q338" s="75">
        <v>11.27</v>
      </c>
      <c r="R338" s="75">
        <v>-3.1520000000000001</v>
      </c>
      <c r="S338" s="75">
        <v>-2.8370000000000002</v>
      </c>
      <c r="T338" s="105">
        <v>-2.879</v>
      </c>
      <c r="U338" s="104">
        <v>11.65</v>
      </c>
      <c r="V338" s="75">
        <v>11.62</v>
      </c>
      <c r="W338" s="75">
        <v>11.53</v>
      </c>
      <c r="X338" s="75">
        <v>-2.0880000000000001</v>
      </c>
      <c r="Y338" s="75">
        <v>-2.032</v>
      </c>
      <c r="Z338" s="105">
        <v>-2.657</v>
      </c>
      <c r="AA338" s="104">
        <v>7.2</v>
      </c>
      <c r="AB338" s="75">
        <v>7.28</v>
      </c>
      <c r="AC338" s="75">
        <v>7.35</v>
      </c>
      <c r="AD338" s="75">
        <v>9.15</v>
      </c>
      <c r="AE338" s="75">
        <v>9.41</v>
      </c>
      <c r="AF338" s="105">
        <v>10.33</v>
      </c>
    </row>
    <row r="339" spans="2:32" x14ac:dyDescent="0.3">
      <c r="B339" s="111">
        <v>55.666666666666416</v>
      </c>
      <c r="C339" s="104">
        <v>7.63</v>
      </c>
      <c r="D339" s="75">
        <v>7.72</v>
      </c>
      <c r="E339" s="75">
        <v>7.81</v>
      </c>
      <c r="F339" s="75">
        <v>5.08</v>
      </c>
      <c r="G339" s="75">
        <v>4.9610000000000003</v>
      </c>
      <c r="H339" s="105">
        <v>5.3079999999999998</v>
      </c>
      <c r="I339" s="104">
        <v>7.62</v>
      </c>
      <c r="J339" s="75">
        <v>7.71</v>
      </c>
      <c r="K339" s="75">
        <v>7.81</v>
      </c>
      <c r="L339" s="75">
        <v>3.7389999999999999</v>
      </c>
      <c r="M339" s="75">
        <v>3.677</v>
      </c>
      <c r="N339" s="105">
        <v>4.3419999999999996</v>
      </c>
      <c r="O339" s="104">
        <v>11.21</v>
      </c>
      <c r="P339" s="75">
        <v>11.21</v>
      </c>
      <c r="Q339" s="75">
        <v>11.18</v>
      </c>
      <c r="R339" s="75">
        <v>-3.4550000000000001</v>
      </c>
      <c r="S339" s="75">
        <v>-3.234</v>
      </c>
      <c r="T339" s="105">
        <v>-3.077</v>
      </c>
      <c r="U339" s="104">
        <v>11.56</v>
      </c>
      <c r="V339" s="75">
        <v>11.53</v>
      </c>
      <c r="W339" s="75">
        <v>11.45</v>
      </c>
      <c r="X339" s="75">
        <v>-2.4470000000000001</v>
      </c>
      <c r="Y339" s="75">
        <v>-2.4289999999999998</v>
      </c>
      <c r="Z339" s="105">
        <v>-2.9379999999999997</v>
      </c>
      <c r="AA339" s="104">
        <v>7.27</v>
      </c>
      <c r="AB339" s="75">
        <v>7.36</v>
      </c>
      <c r="AC339" s="75">
        <v>7.4</v>
      </c>
      <c r="AD339" s="75">
        <v>9.7100000000000009</v>
      </c>
      <c r="AE339" s="75">
        <v>9.75</v>
      </c>
      <c r="AF339" s="105">
        <v>10.28</v>
      </c>
    </row>
    <row r="340" spans="2:32" x14ac:dyDescent="0.3">
      <c r="B340" s="111">
        <v>55.83333333333308</v>
      </c>
      <c r="C340" s="104">
        <v>7.7</v>
      </c>
      <c r="D340" s="75">
        <v>7.79</v>
      </c>
      <c r="E340" s="75">
        <v>7.87</v>
      </c>
      <c r="F340" s="75">
        <v>5.33</v>
      </c>
      <c r="G340" s="75">
        <v>5.2519999999999998</v>
      </c>
      <c r="H340" s="105">
        <v>5.6</v>
      </c>
      <c r="I340" s="104">
        <v>7.7</v>
      </c>
      <c r="J340" s="75">
        <v>7.79</v>
      </c>
      <c r="K340" s="75">
        <v>7.88</v>
      </c>
      <c r="L340" s="75">
        <v>4.1070000000000002</v>
      </c>
      <c r="M340" s="75">
        <v>3.7810000000000001</v>
      </c>
      <c r="N340" s="105">
        <v>3.8980000000000001</v>
      </c>
      <c r="O340" s="104">
        <v>11.13</v>
      </c>
      <c r="P340" s="75">
        <v>11.13</v>
      </c>
      <c r="Q340" s="75">
        <v>11.1</v>
      </c>
      <c r="R340" s="75">
        <v>-3.1960000000000002</v>
      </c>
      <c r="S340" s="75">
        <v>-3.202</v>
      </c>
      <c r="T340" s="105">
        <v>-3.1789999999999998</v>
      </c>
      <c r="U340" s="104">
        <v>11.48</v>
      </c>
      <c r="V340" s="75">
        <v>11.45</v>
      </c>
      <c r="W340" s="75">
        <v>11.36</v>
      </c>
      <c r="X340" s="75">
        <v>-2.101</v>
      </c>
      <c r="Y340" s="75">
        <v>-2.343</v>
      </c>
      <c r="Z340" s="105">
        <v>-2.9290000000000003</v>
      </c>
      <c r="AA340" s="104">
        <v>7.35</v>
      </c>
      <c r="AB340" s="75">
        <v>7.43</v>
      </c>
      <c r="AC340" s="75">
        <v>7.47</v>
      </c>
      <c r="AD340" s="75">
        <v>10.01</v>
      </c>
      <c r="AE340" s="75">
        <v>10.09</v>
      </c>
      <c r="AF340" s="105">
        <v>10.64</v>
      </c>
    </row>
    <row r="341" spans="2:32" x14ac:dyDescent="0.3">
      <c r="B341" s="111">
        <v>55.999999999999744</v>
      </c>
      <c r="C341" s="104">
        <v>7.76</v>
      </c>
      <c r="D341" s="75">
        <v>7.86</v>
      </c>
      <c r="E341" s="75">
        <v>7.94</v>
      </c>
      <c r="F341" s="75">
        <v>5.3579999999999997</v>
      </c>
      <c r="G341" s="75">
        <v>5.5019999999999998</v>
      </c>
      <c r="H341" s="105">
        <v>5.6139999999999999</v>
      </c>
      <c r="I341" s="104">
        <v>7.77</v>
      </c>
      <c r="J341" s="75">
        <v>7.87</v>
      </c>
      <c r="K341" s="75">
        <v>7.96</v>
      </c>
      <c r="L341" s="75">
        <v>4.1900000000000004</v>
      </c>
      <c r="M341" s="75">
        <v>3.9630000000000001</v>
      </c>
      <c r="N341" s="105">
        <v>4.0119999999999996</v>
      </c>
      <c r="O341" s="104">
        <v>11.05</v>
      </c>
      <c r="P341" s="75">
        <v>11.06</v>
      </c>
      <c r="Q341" s="75">
        <v>11.03</v>
      </c>
      <c r="R341" s="75">
        <v>-2.9470000000000001</v>
      </c>
      <c r="S341" s="75">
        <v>-2.9369999999999998</v>
      </c>
      <c r="T341" s="105">
        <v>-2.9009999999999998</v>
      </c>
      <c r="U341" s="104">
        <v>11.4</v>
      </c>
      <c r="V341" s="75">
        <v>11.38</v>
      </c>
      <c r="W341" s="75">
        <v>11.29</v>
      </c>
      <c r="X341" s="75">
        <v>-1.825</v>
      </c>
      <c r="Y341" s="75">
        <v>-2.0249999999999999</v>
      </c>
      <c r="Z341" s="105">
        <v>-2.6080000000000001</v>
      </c>
      <c r="AA341" s="104">
        <v>7.41</v>
      </c>
      <c r="AB341" s="75">
        <v>7.49</v>
      </c>
      <c r="AC341" s="75">
        <v>7.54</v>
      </c>
      <c r="AD341" s="75">
        <v>10.039999999999999</v>
      </c>
      <c r="AE341" s="75">
        <v>10.38</v>
      </c>
      <c r="AF341" s="105">
        <v>10.68</v>
      </c>
    </row>
    <row r="342" spans="2:32" x14ac:dyDescent="0.3">
      <c r="B342" s="111">
        <v>56.166666666666409</v>
      </c>
      <c r="C342" s="104">
        <v>7.84</v>
      </c>
      <c r="D342" s="75">
        <v>7.92</v>
      </c>
      <c r="E342" s="75">
        <v>8.01</v>
      </c>
      <c r="F342" s="75">
        <v>5.72</v>
      </c>
      <c r="G342" s="75">
        <v>5.56</v>
      </c>
      <c r="H342" s="105">
        <v>6.1319999999999997</v>
      </c>
      <c r="I342" s="104">
        <v>7.86</v>
      </c>
      <c r="J342" s="75">
        <v>7.94</v>
      </c>
      <c r="K342" s="75">
        <v>8.0299999999999994</v>
      </c>
      <c r="L342" s="75">
        <v>3.931</v>
      </c>
      <c r="M342" s="75">
        <v>4.077</v>
      </c>
      <c r="N342" s="105">
        <v>3.8809999999999998</v>
      </c>
      <c r="O342" s="104">
        <v>10.99</v>
      </c>
      <c r="P342" s="75">
        <v>10.98</v>
      </c>
      <c r="Q342" s="75">
        <v>10.96</v>
      </c>
      <c r="R342" s="75">
        <v>-2.7080000000000002</v>
      </c>
      <c r="S342" s="75">
        <v>-2.8809999999999998</v>
      </c>
      <c r="T342" s="105">
        <v>-2.843</v>
      </c>
      <c r="U342" s="104">
        <v>11.34</v>
      </c>
      <c r="V342" s="75">
        <v>11.31</v>
      </c>
      <c r="W342" s="75">
        <v>11.22</v>
      </c>
      <c r="X342" s="75">
        <v>-1.472</v>
      </c>
      <c r="Y342" s="75">
        <v>-2.0169999999999999</v>
      </c>
      <c r="Z342" s="105">
        <v>-2.5369999999999999</v>
      </c>
      <c r="AA342" s="104">
        <v>7.48</v>
      </c>
      <c r="AB342" s="75">
        <v>7.55</v>
      </c>
      <c r="AC342" s="75">
        <v>7.6</v>
      </c>
      <c r="AD342" s="75">
        <v>10.45</v>
      </c>
      <c r="AE342" s="75">
        <v>10.43</v>
      </c>
      <c r="AF342" s="105">
        <v>11.22</v>
      </c>
    </row>
    <row r="343" spans="2:32" x14ac:dyDescent="0.3">
      <c r="B343" s="111">
        <v>56.333333333333073</v>
      </c>
      <c r="C343" s="104">
        <v>7.9</v>
      </c>
      <c r="D343" s="75">
        <v>7.98</v>
      </c>
      <c r="E343" s="75">
        <v>8.07</v>
      </c>
      <c r="F343" s="75">
        <v>5.8540000000000001</v>
      </c>
      <c r="G343" s="75">
        <v>5.6260000000000003</v>
      </c>
      <c r="H343" s="105">
        <v>6.2309999999999999</v>
      </c>
      <c r="I343" s="104">
        <v>7.93</v>
      </c>
      <c r="J343" s="75">
        <v>8</v>
      </c>
      <c r="K343" s="75">
        <v>8.1</v>
      </c>
      <c r="L343" s="75">
        <v>4.0839999999999996</v>
      </c>
      <c r="M343" s="75">
        <v>3.827</v>
      </c>
      <c r="N343" s="105">
        <v>4.069</v>
      </c>
      <c r="O343" s="104">
        <v>10.92</v>
      </c>
      <c r="P343" s="75">
        <v>10.91</v>
      </c>
      <c r="Q343" s="75">
        <v>10.89</v>
      </c>
      <c r="R343" s="75">
        <v>-2.9529999999999998</v>
      </c>
      <c r="S343" s="75">
        <v>-2.7949999999999999</v>
      </c>
      <c r="T343" s="105">
        <v>-2.7749999999999999</v>
      </c>
      <c r="U343" s="104">
        <v>11.27</v>
      </c>
      <c r="V343" s="75">
        <v>11.24</v>
      </c>
      <c r="W343" s="75">
        <v>11.15</v>
      </c>
      <c r="X343" s="75">
        <v>-1.7749999999999999</v>
      </c>
      <c r="Y343" s="75">
        <v>-1.8599999999999999</v>
      </c>
      <c r="Z343" s="105">
        <v>-2.4020000000000001</v>
      </c>
      <c r="AA343" s="104">
        <v>7.54</v>
      </c>
      <c r="AB343" s="75">
        <v>7.6</v>
      </c>
      <c r="AC343" s="75">
        <v>7.66</v>
      </c>
      <c r="AD343" s="75">
        <v>10.71</v>
      </c>
      <c r="AE343" s="75">
        <v>10.56</v>
      </c>
      <c r="AF343" s="105">
        <v>11.33</v>
      </c>
    </row>
    <row r="344" spans="2:32" x14ac:dyDescent="0.3">
      <c r="B344" s="111">
        <v>56.499999999999737</v>
      </c>
      <c r="C344" s="104">
        <v>7.96</v>
      </c>
      <c r="D344" s="75">
        <v>8.0399999999999991</v>
      </c>
      <c r="E344" s="75">
        <v>8.1300000000000008</v>
      </c>
      <c r="F344" s="75">
        <v>6.0439999999999996</v>
      </c>
      <c r="G344" s="75">
        <v>5.952</v>
      </c>
      <c r="H344" s="105">
        <v>6.35</v>
      </c>
      <c r="I344" s="104">
        <v>8</v>
      </c>
      <c r="J344" s="75">
        <v>8.08</v>
      </c>
      <c r="K344" s="75">
        <v>8.17</v>
      </c>
      <c r="L344" s="75">
        <v>4.0289999999999999</v>
      </c>
      <c r="M344" s="75">
        <v>3.6920000000000002</v>
      </c>
      <c r="N344" s="105">
        <v>4.04</v>
      </c>
      <c r="O344" s="104">
        <v>10.84</v>
      </c>
      <c r="P344" s="75">
        <v>10.83</v>
      </c>
      <c r="Q344" s="75">
        <v>10.81</v>
      </c>
      <c r="R344" s="75">
        <v>-2.98</v>
      </c>
      <c r="S344" s="75">
        <v>-2.9249999999999998</v>
      </c>
      <c r="T344" s="105">
        <v>-2.8860000000000001</v>
      </c>
      <c r="U344" s="104">
        <v>11.19</v>
      </c>
      <c r="V344" s="75">
        <v>11.16</v>
      </c>
      <c r="W344" s="75">
        <v>11.08</v>
      </c>
      <c r="X344" s="75">
        <v>-1.8089999999999999</v>
      </c>
      <c r="Y344" s="75">
        <v>-1.9350000000000001</v>
      </c>
      <c r="Z344" s="105">
        <v>-2.5329999999999999</v>
      </c>
      <c r="AA344" s="104">
        <v>7.59</v>
      </c>
      <c r="AB344" s="75">
        <v>7.67</v>
      </c>
      <c r="AC344" s="75">
        <v>7.72</v>
      </c>
      <c r="AD344" s="75">
        <v>10.87</v>
      </c>
      <c r="AE344" s="75">
        <v>10.93</v>
      </c>
      <c r="AF344" s="105">
        <v>11.51</v>
      </c>
    </row>
    <row r="345" spans="2:32" x14ac:dyDescent="0.3">
      <c r="B345" s="111">
        <v>56.666666666666401</v>
      </c>
      <c r="C345" s="104">
        <v>8.02</v>
      </c>
      <c r="D345" s="75">
        <v>8.1</v>
      </c>
      <c r="E345" s="75">
        <v>8.19</v>
      </c>
      <c r="F345" s="75">
        <v>6.1820000000000004</v>
      </c>
      <c r="G345" s="75">
        <v>6.1920000000000002</v>
      </c>
      <c r="H345" s="105">
        <v>6.6440000000000001</v>
      </c>
      <c r="I345" s="104">
        <v>8.08</v>
      </c>
      <c r="J345" s="75">
        <v>8.14</v>
      </c>
      <c r="K345" s="75">
        <v>8.25</v>
      </c>
      <c r="L345" s="75">
        <v>3.9740000000000002</v>
      </c>
      <c r="M345" s="75">
        <v>3.9009999999999998</v>
      </c>
      <c r="N345" s="105">
        <v>3.823</v>
      </c>
      <c r="O345" s="104">
        <v>10.77</v>
      </c>
      <c r="P345" s="75">
        <v>10.76</v>
      </c>
      <c r="Q345" s="75">
        <v>10.75</v>
      </c>
      <c r="R345" s="75">
        <v>-2.8380000000000001</v>
      </c>
      <c r="S345" s="75">
        <v>-2.9089999999999998</v>
      </c>
      <c r="T345" s="105">
        <v>-2.82</v>
      </c>
      <c r="U345" s="104">
        <v>11.13</v>
      </c>
      <c r="V345" s="75">
        <v>11.09</v>
      </c>
      <c r="W345" s="75">
        <v>11.01</v>
      </c>
      <c r="X345" s="75">
        <v>-1.6219999999999999</v>
      </c>
      <c r="Y345" s="75">
        <v>-1.9790000000000001</v>
      </c>
      <c r="Z345" s="105">
        <v>-2.4769999999999999</v>
      </c>
      <c r="AA345" s="104">
        <v>7.66</v>
      </c>
      <c r="AB345" s="75">
        <v>7.73</v>
      </c>
      <c r="AC345" s="75">
        <v>7.78</v>
      </c>
      <c r="AD345" s="75">
        <v>11.03</v>
      </c>
      <c r="AE345" s="75">
        <v>11.21</v>
      </c>
      <c r="AF345" s="105">
        <v>11.85</v>
      </c>
    </row>
    <row r="346" spans="2:32" x14ac:dyDescent="0.3">
      <c r="B346" s="111">
        <v>56.833333333333066</v>
      </c>
      <c r="C346" s="104">
        <v>8.09</v>
      </c>
      <c r="D346" s="75">
        <v>8.16</v>
      </c>
      <c r="E346" s="75">
        <v>8.25</v>
      </c>
      <c r="F346" s="75">
        <v>6.4640000000000004</v>
      </c>
      <c r="G346" s="75">
        <v>6.4489999999999998</v>
      </c>
      <c r="H346" s="105">
        <v>6.9989999999999997</v>
      </c>
      <c r="I346" s="104">
        <v>8.15</v>
      </c>
      <c r="J346" s="75">
        <v>8.2100000000000009</v>
      </c>
      <c r="K346" s="75">
        <v>8.32</v>
      </c>
      <c r="L346" s="75">
        <v>3.8650000000000002</v>
      </c>
      <c r="M346" s="75">
        <v>3.8210000000000002</v>
      </c>
      <c r="N346" s="105">
        <v>4.1360000000000001</v>
      </c>
      <c r="O346" s="104">
        <v>10.7</v>
      </c>
      <c r="P346" s="75">
        <v>10.69</v>
      </c>
      <c r="Q346" s="75">
        <v>10.68</v>
      </c>
      <c r="R346" s="75">
        <v>-2.7959999999999998</v>
      </c>
      <c r="S346" s="75">
        <v>-2.8319999999999999</v>
      </c>
      <c r="T346" s="105">
        <v>-2.7709999999999999</v>
      </c>
      <c r="U346" s="104">
        <v>11.05</v>
      </c>
      <c r="V346" s="75">
        <v>11.02</v>
      </c>
      <c r="W346" s="75">
        <v>10.94</v>
      </c>
      <c r="X346" s="75">
        <v>-1.6179999999999999</v>
      </c>
      <c r="Y346" s="75">
        <v>-1.8260000000000001</v>
      </c>
      <c r="Z346" s="105">
        <v>-2.419</v>
      </c>
      <c r="AA346" s="104">
        <v>7.73</v>
      </c>
      <c r="AB346" s="75">
        <v>7.78</v>
      </c>
      <c r="AC346" s="75">
        <v>7.85</v>
      </c>
      <c r="AD346" s="75">
        <v>11.37</v>
      </c>
      <c r="AE346" s="75">
        <v>11.45</v>
      </c>
      <c r="AF346" s="105">
        <v>12.18</v>
      </c>
    </row>
    <row r="347" spans="2:32" x14ac:dyDescent="0.3">
      <c r="B347" s="111">
        <v>56.99999999999973</v>
      </c>
      <c r="C347" s="104">
        <v>8.14</v>
      </c>
      <c r="D347" s="75">
        <v>8.2200000000000006</v>
      </c>
      <c r="E347" s="75">
        <v>8.31</v>
      </c>
      <c r="F347" s="75">
        <v>6.7370000000000001</v>
      </c>
      <c r="G347" s="75">
        <v>6.6459999999999999</v>
      </c>
      <c r="H347" s="105">
        <v>7.1159999999999997</v>
      </c>
      <c r="I347" s="104">
        <v>8.2200000000000006</v>
      </c>
      <c r="J347" s="75">
        <v>8.2799999999999994</v>
      </c>
      <c r="K347" s="75">
        <v>8.39</v>
      </c>
      <c r="L347" s="75">
        <v>4.0330000000000004</v>
      </c>
      <c r="M347" s="75">
        <v>3.899</v>
      </c>
      <c r="N347" s="105">
        <v>4.0709999999999997</v>
      </c>
      <c r="O347" s="104">
        <v>10.64</v>
      </c>
      <c r="P347" s="75">
        <v>10.62</v>
      </c>
      <c r="Q347" s="75">
        <v>10.61</v>
      </c>
      <c r="R347" s="75">
        <v>-2.72</v>
      </c>
      <c r="S347" s="75">
        <v>-2.8759999999999999</v>
      </c>
      <c r="T347" s="105">
        <v>-2.552</v>
      </c>
      <c r="U347" s="104">
        <v>10.99</v>
      </c>
      <c r="V347" s="75">
        <v>10.95</v>
      </c>
      <c r="W347" s="75">
        <v>10.87</v>
      </c>
      <c r="X347" s="75">
        <v>-1.49</v>
      </c>
      <c r="Y347" s="75">
        <v>-1.837</v>
      </c>
      <c r="Z347" s="105">
        <v>-2.1520000000000001</v>
      </c>
      <c r="AA347" s="104">
        <v>7.78</v>
      </c>
      <c r="AB347" s="75">
        <v>7.84</v>
      </c>
      <c r="AC347" s="75">
        <v>7.9</v>
      </c>
      <c r="AD347" s="75">
        <v>11.61</v>
      </c>
      <c r="AE347" s="75">
        <v>11.67</v>
      </c>
      <c r="AF347" s="105">
        <v>12.32</v>
      </c>
    </row>
    <row r="348" spans="2:32" x14ac:dyDescent="0.3">
      <c r="B348" s="111">
        <v>57.166666666666394</v>
      </c>
      <c r="C348" s="104">
        <v>8.1999999999999993</v>
      </c>
      <c r="D348" s="75">
        <v>8.2799999999999994</v>
      </c>
      <c r="E348" s="75">
        <v>8.3699999999999992</v>
      </c>
      <c r="F348" s="75">
        <v>6.9089999999999998</v>
      </c>
      <c r="G348" s="75">
        <v>6.8769999999999998</v>
      </c>
      <c r="H348" s="105">
        <v>7.4320000000000004</v>
      </c>
      <c r="I348" s="104">
        <v>8.2899999999999991</v>
      </c>
      <c r="J348" s="75">
        <v>8.35</v>
      </c>
      <c r="K348" s="75">
        <v>8.4600000000000009</v>
      </c>
      <c r="L348" s="75">
        <v>4.0090000000000003</v>
      </c>
      <c r="M348" s="75">
        <v>3.8980000000000001</v>
      </c>
      <c r="N348" s="105">
        <v>4.0999999999999996</v>
      </c>
      <c r="O348" s="104">
        <v>10.56</v>
      </c>
      <c r="P348" s="75">
        <v>10.54</v>
      </c>
      <c r="Q348" s="75">
        <v>10.53</v>
      </c>
      <c r="R348" s="75">
        <v>-2.9380000000000002</v>
      </c>
      <c r="S348" s="75">
        <v>-2.9359999999999999</v>
      </c>
      <c r="T348" s="105">
        <v>-2.8639999999999999</v>
      </c>
      <c r="U348" s="104">
        <v>10.92</v>
      </c>
      <c r="V348" s="75">
        <v>10.88</v>
      </c>
      <c r="W348" s="75">
        <v>10.81</v>
      </c>
      <c r="X348" s="75">
        <v>-1.6890000000000001</v>
      </c>
      <c r="Y348" s="75">
        <v>-1.907</v>
      </c>
      <c r="Z348" s="105">
        <v>-2.508</v>
      </c>
      <c r="AA348" s="104">
        <v>7.84</v>
      </c>
      <c r="AB348" s="75">
        <v>7.9</v>
      </c>
      <c r="AC348" s="75">
        <v>7.96</v>
      </c>
      <c r="AD348" s="75">
        <v>11.87</v>
      </c>
      <c r="AE348" s="75">
        <v>11.95</v>
      </c>
      <c r="AF348" s="105">
        <v>12.62</v>
      </c>
    </row>
    <row r="349" spans="2:32" x14ac:dyDescent="0.3">
      <c r="B349" s="111">
        <v>57.333333333333059</v>
      </c>
      <c r="C349" s="104">
        <v>8.26</v>
      </c>
      <c r="D349" s="75">
        <v>8.34</v>
      </c>
      <c r="E349" s="75">
        <v>8.42</v>
      </c>
      <c r="F349" s="75">
        <v>6.9950000000000001</v>
      </c>
      <c r="G349" s="75">
        <v>7.2380000000000004</v>
      </c>
      <c r="H349" s="105">
        <v>7.55</v>
      </c>
      <c r="I349" s="104">
        <v>8.35</v>
      </c>
      <c r="J349" s="75">
        <v>8.42</v>
      </c>
      <c r="K349" s="75">
        <v>8.5299999999999994</v>
      </c>
      <c r="L349" s="75">
        <v>4.03</v>
      </c>
      <c r="M349" s="75">
        <v>3.9020000000000001</v>
      </c>
      <c r="N349" s="105">
        <v>4.0890000000000004</v>
      </c>
      <c r="O349" s="104">
        <v>10.49</v>
      </c>
      <c r="P349" s="75">
        <v>10.47</v>
      </c>
      <c r="Q349" s="75">
        <v>10.47</v>
      </c>
      <c r="R349" s="75">
        <v>-2.9510000000000001</v>
      </c>
      <c r="S349" s="75">
        <v>-2.93</v>
      </c>
      <c r="T349" s="105">
        <v>-2.7650000000000001</v>
      </c>
      <c r="U349" s="104">
        <v>10.85</v>
      </c>
      <c r="V349" s="75">
        <v>10.81</v>
      </c>
      <c r="W349" s="75">
        <v>10.74</v>
      </c>
      <c r="X349" s="75">
        <v>-1.69</v>
      </c>
      <c r="Y349" s="75">
        <v>-1.8959999999999999</v>
      </c>
      <c r="Z349" s="105">
        <v>-2.3620000000000001</v>
      </c>
      <c r="AA349" s="104">
        <v>7.89</v>
      </c>
      <c r="AB349" s="75">
        <v>7.96</v>
      </c>
      <c r="AC349" s="75">
        <v>8.01</v>
      </c>
      <c r="AD349" s="75">
        <v>11.97</v>
      </c>
      <c r="AE349" s="75">
        <v>12.27</v>
      </c>
      <c r="AF349" s="105">
        <v>12.79</v>
      </c>
    </row>
    <row r="350" spans="2:32" x14ac:dyDescent="0.3">
      <c r="B350" s="111">
        <v>57.499999999999723</v>
      </c>
      <c r="C350" s="104">
        <v>8.32</v>
      </c>
      <c r="D350" s="75">
        <v>8.4</v>
      </c>
      <c r="E350" s="75">
        <v>8.49</v>
      </c>
      <c r="F350" s="75">
        <v>7.3710000000000004</v>
      </c>
      <c r="G350" s="75">
        <v>7.6310000000000002</v>
      </c>
      <c r="H350" s="105">
        <v>7.9550000000000001</v>
      </c>
      <c r="I350" s="104">
        <v>8.42</v>
      </c>
      <c r="J350" s="75">
        <v>8.5</v>
      </c>
      <c r="K350" s="75">
        <v>8.6</v>
      </c>
      <c r="L350" s="75">
        <v>3.75</v>
      </c>
      <c r="M350" s="75">
        <v>4.0469999999999997</v>
      </c>
      <c r="N350" s="105">
        <v>4.0170000000000003</v>
      </c>
      <c r="O350" s="104">
        <v>10.42</v>
      </c>
      <c r="P350" s="75">
        <v>10.4</v>
      </c>
      <c r="Q350" s="75">
        <v>10.4</v>
      </c>
      <c r="R350" s="75">
        <v>-2.746</v>
      </c>
      <c r="S350" s="75">
        <v>-2.8340000000000001</v>
      </c>
      <c r="T350" s="105">
        <v>-2.7240000000000002</v>
      </c>
      <c r="U350" s="104">
        <v>10.79</v>
      </c>
      <c r="V350" s="75">
        <v>10.74</v>
      </c>
      <c r="W350" s="75">
        <v>10.67</v>
      </c>
      <c r="X350" s="75">
        <v>-1.446</v>
      </c>
      <c r="Y350" s="75">
        <v>-1.6839999999999999</v>
      </c>
      <c r="Z350" s="105">
        <v>-2.274</v>
      </c>
      <c r="AA350" s="104">
        <v>7.96</v>
      </c>
      <c r="AB350" s="75">
        <v>8.02</v>
      </c>
      <c r="AC350" s="75">
        <v>8.08</v>
      </c>
      <c r="AD350" s="75">
        <v>12.39</v>
      </c>
      <c r="AE350" s="75">
        <v>12.71</v>
      </c>
      <c r="AF350" s="105">
        <v>13.22</v>
      </c>
    </row>
    <row r="351" spans="2:32" x14ac:dyDescent="0.3">
      <c r="B351" s="111">
        <v>57.666666666666387</v>
      </c>
      <c r="C351" s="104">
        <v>8.3800000000000008</v>
      </c>
      <c r="D351" s="75">
        <v>8.4600000000000009</v>
      </c>
      <c r="E351" s="75">
        <v>8.5399999999999991</v>
      </c>
      <c r="F351" s="75">
        <v>7.7359999999999998</v>
      </c>
      <c r="G351" s="75">
        <v>7.87</v>
      </c>
      <c r="H351" s="105">
        <v>8.26</v>
      </c>
      <c r="I351" s="104">
        <v>8.49</v>
      </c>
      <c r="J351" s="75">
        <v>8.57</v>
      </c>
      <c r="K351" s="75">
        <v>8.67</v>
      </c>
      <c r="L351" s="75">
        <v>3.9359999999999999</v>
      </c>
      <c r="M351" s="75">
        <v>4.2</v>
      </c>
      <c r="N351" s="105">
        <v>4.1459999999999999</v>
      </c>
      <c r="O351" s="104">
        <v>10.35</v>
      </c>
      <c r="P351" s="75">
        <v>10.33</v>
      </c>
      <c r="Q351" s="75">
        <v>10.32</v>
      </c>
      <c r="R351" s="75">
        <v>-2.9670000000000001</v>
      </c>
      <c r="S351" s="75">
        <v>-2.8010000000000002</v>
      </c>
      <c r="T351" s="105">
        <v>-2.7709999999999999</v>
      </c>
      <c r="U351" s="104">
        <v>10.72</v>
      </c>
      <c r="V351" s="75">
        <v>10.67</v>
      </c>
      <c r="W351" s="75">
        <v>10.6</v>
      </c>
      <c r="X351" s="75">
        <v>-1.643</v>
      </c>
      <c r="Y351" s="75">
        <v>-1.65</v>
      </c>
      <c r="Z351" s="105">
        <v>-2.3050000000000002</v>
      </c>
      <c r="AA351" s="104">
        <v>8.01</v>
      </c>
      <c r="AB351" s="75">
        <v>8.08</v>
      </c>
      <c r="AC351" s="75">
        <v>8.1300000000000008</v>
      </c>
      <c r="AD351" s="75">
        <v>12.72</v>
      </c>
      <c r="AE351" s="75">
        <v>13.01</v>
      </c>
      <c r="AF351" s="105">
        <v>13.49</v>
      </c>
    </row>
    <row r="352" spans="2:32" x14ac:dyDescent="0.3">
      <c r="B352" s="111">
        <v>57.833333333333051</v>
      </c>
      <c r="C352" s="104">
        <v>8.44</v>
      </c>
      <c r="D352" s="75">
        <v>8.51</v>
      </c>
      <c r="E352" s="75">
        <v>8.61</v>
      </c>
      <c r="F352" s="75">
        <v>8.1300000000000008</v>
      </c>
      <c r="G352" s="75">
        <v>8.0399999999999991</v>
      </c>
      <c r="H352" s="105">
        <v>8.84</v>
      </c>
      <c r="I352" s="104">
        <v>8.57</v>
      </c>
      <c r="J352" s="75">
        <v>8.6300000000000008</v>
      </c>
      <c r="K352" s="75">
        <v>8.74</v>
      </c>
      <c r="L352" s="75">
        <v>4.1760000000000002</v>
      </c>
      <c r="M352" s="75">
        <v>4.28</v>
      </c>
      <c r="N352" s="105">
        <v>4.2249999999999996</v>
      </c>
      <c r="O352" s="104">
        <v>10.27</v>
      </c>
      <c r="P352" s="75">
        <v>10.26</v>
      </c>
      <c r="Q352" s="75">
        <v>10.25</v>
      </c>
      <c r="R352" s="75">
        <v>-3.1070000000000002</v>
      </c>
      <c r="S352" s="75">
        <v>-2.7210000000000001</v>
      </c>
      <c r="T352" s="105">
        <v>-2.8090000000000002</v>
      </c>
      <c r="U352" s="104">
        <v>10.64</v>
      </c>
      <c r="V352" s="75">
        <v>10.6</v>
      </c>
      <c r="W352" s="75">
        <v>10.53</v>
      </c>
      <c r="X352" s="75">
        <v>-1.8069999999999999</v>
      </c>
      <c r="Y352" s="75">
        <v>-1.635</v>
      </c>
      <c r="Z352" s="105">
        <v>-2.355</v>
      </c>
      <c r="AA352" s="104">
        <v>8.07</v>
      </c>
      <c r="AB352" s="75">
        <v>8.1300000000000008</v>
      </c>
      <c r="AC352" s="75">
        <v>8.19</v>
      </c>
      <c r="AD352" s="75">
        <v>13.21</v>
      </c>
      <c r="AE352" s="75">
        <v>13.15</v>
      </c>
      <c r="AF352" s="105">
        <v>14.13</v>
      </c>
    </row>
    <row r="353" spans="2:32" x14ac:dyDescent="0.3">
      <c r="B353" s="111">
        <v>57.999999999999716</v>
      </c>
      <c r="C353" s="104">
        <v>8.5</v>
      </c>
      <c r="D353" s="75">
        <v>8.58</v>
      </c>
      <c r="E353" s="75">
        <v>8.66</v>
      </c>
      <c r="F353" s="75">
        <v>8.32</v>
      </c>
      <c r="G353" s="75">
        <v>8.98</v>
      </c>
      <c r="H353" s="105">
        <v>9.06</v>
      </c>
      <c r="I353" s="104">
        <v>8.64</v>
      </c>
      <c r="J353" s="75">
        <v>8.7100000000000009</v>
      </c>
      <c r="K353" s="75">
        <v>8.82</v>
      </c>
      <c r="L353" s="75">
        <v>4.359</v>
      </c>
      <c r="M353" s="75">
        <v>4.0380000000000003</v>
      </c>
      <c r="N353" s="105">
        <v>4.6139999999999999</v>
      </c>
      <c r="O353" s="104">
        <v>10.199999999999999</v>
      </c>
      <c r="P353" s="75">
        <v>10.19</v>
      </c>
      <c r="Q353" s="75">
        <v>10.18</v>
      </c>
      <c r="R353" s="75">
        <v>-3.02</v>
      </c>
      <c r="S353" s="75">
        <v>-3.0329999999999999</v>
      </c>
      <c r="T353" s="105">
        <v>-2.8809999999999998</v>
      </c>
      <c r="U353" s="104">
        <v>10.57</v>
      </c>
      <c r="V353" s="75">
        <v>10.53</v>
      </c>
      <c r="W353" s="75">
        <v>10.46</v>
      </c>
      <c r="X353" s="75">
        <v>-1.718</v>
      </c>
      <c r="Y353" s="75">
        <v>-1.865</v>
      </c>
      <c r="Z353" s="105">
        <v>-2.351</v>
      </c>
      <c r="AA353" s="104">
        <v>8.1300000000000008</v>
      </c>
      <c r="AB353" s="75">
        <v>8.1999999999999993</v>
      </c>
      <c r="AC353" s="75">
        <v>8.25</v>
      </c>
      <c r="AD353" s="75">
        <v>13.41</v>
      </c>
      <c r="AE353" s="75">
        <v>14.06</v>
      </c>
      <c r="AF353" s="105">
        <v>14.31</v>
      </c>
    </row>
    <row r="354" spans="2:32" x14ac:dyDescent="0.3">
      <c r="B354" s="111">
        <v>58.16666666666638</v>
      </c>
      <c r="C354" s="104">
        <v>8.57</v>
      </c>
      <c r="D354" s="75">
        <v>8.64</v>
      </c>
      <c r="E354" s="75">
        <v>8.7200000000000006</v>
      </c>
      <c r="F354" s="75">
        <v>9.17</v>
      </c>
      <c r="G354" s="75">
        <v>9.43</v>
      </c>
      <c r="H354" s="105">
        <v>9.39</v>
      </c>
      <c r="I354" s="104">
        <v>8.7200000000000006</v>
      </c>
      <c r="J354" s="75">
        <v>8.7899999999999991</v>
      </c>
      <c r="K354" s="75">
        <v>8.89</v>
      </c>
      <c r="L354" s="75">
        <v>4.2229999999999999</v>
      </c>
      <c r="M354" s="75">
        <v>4.6909999999999998</v>
      </c>
      <c r="N354" s="105">
        <v>4.4930000000000003</v>
      </c>
      <c r="O354" s="104">
        <v>10.130000000000001</v>
      </c>
      <c r="P354" s="75">
        <v>10.1</v>
      </c>
      <c r="Q354" s="75">
        <v>10.11</v>
      </c>
      <c r="R354" s="75">
        <v>-2.782</v>
      </c>
      <c r="S354" s="75">
        <v>-3.35</v>
      </c>
      <c r="T354" s="105">
        <v>-3.0510000000000002</v>
      </c>
      <c r="U354" s="104">
        <v>10.5</v>
      </c>
      <c r="V354" s="75">
        <v>10.45</v>
      </c>
      <c r="W354" s="75">
        <v>10.38</v>
      </c>
      <c r="X354" s="75">
        <v>-1.371</v>
      </c>
      <c r="Y354" s="75">
        <v>-2.2010000000000001</v>
      </c>
      <c r="Z354" s="105">
        <v>-2.5449999999999999</v>
      </c>
      <c r="AA354" s="104">
        <v>8.1999999999999993</v>
      </c>
      <c r="AB354" s="75">
        <v>8.27</v>
      </c>
      <c r="AC354" s="75">
        <v>8.31</v>
      </c>
      <c r="AD354" s="75">
        <v>14.21</v>
      </c>
      <c r="AE354" s="75">
        <v>14.5</v>
      </c>
      <c r="AF354" s="105">
        <v>14.72</v>
      </c>
    </row>
    <row r="355" spans="2:32" x14ac:dyDescent="0.3">
      <c r="B355" s="111">
        <v>58.333333333333044</v>
      </c>
      <c r="C355" s="104">
        <v>8.64</v>
      </c>
      <c r="D355" s="75">
        <v>8.6999999999999993</v>
      </c>
      <c r="E355" s="75">
        <v>8.77</v>
      </c>
      <c r="F355" s="75">
        <v>9.69</v>
      </c>
      <c r="G355" s="75">
        <v>9.56</v>
      </c>
      <c r="H355" s="105">
        <v>9.66</v>
      </c>
      <c r="I355" s="104">
        <v>8.81</v>
      </c>
      <c r="J355" s="75">
        <v>8.8699999999999992</v>
      </c>
      <c r="K355" s="75">
        <v>8.9600000000000009</v>
      </c>
      <c r="L355" s="75">
        <v>4.8159999999999998</v>
      </c>
      <c r="M355" s="75">
        <v>4.8840000000000003</v>
      </c>
      <c r="N355" s="105">
        <v>4.5389999999999997</v>
      </c>
      <c r="O355" s="104">
        <v>10.050000000000001</v>
      </c>
      <c r="P355" s="75">
        <v>10.02</v>
      </c>
      <c r="Q355" s="75">
        <v>10.02</v>
      </c>
      <c r="R355" s="75">
        <v>-3.3450000000000002</v>
      </c>
      <c r="S355" s="75">
        <v>-3.3170000000000002</v>
      </c>
      <c r="T355" s="105">
        <v>-3.2509999999999999</v>
      </c>
      <c r="U355" s="104">
        <v>10.42</v>
      </c>
      <c r="V355" s="75">
        <v>10.37</v>
      </c>
      <c r="W355" s="75">
        <v>10.3</v>
      </c>
      <c r="X355" s="75">
        <v>-1.9319999999999999</v>
      </c>
      <c r="Y355" s="75">
        <v>-2.0760000000000001</v>
      </c>
      <c r="Z355" s="105">
        <v>-2.7450000000000001</v>
      </c>
      <c r="AA355" s="104">
        <v>8.27</v>
      </c>
      <c r="AB355" s="75">
        <v>8.32</v>
      </c>
      <c r="AC355" s="75">
        <v>8.36</v>
      </c>
      <c r="AD355" s="75">
        <v>14.71</v>
      </c>
      <c r="AE355" s="75">
        <v>14.77</v>
      </c>
      <c r="AF355" s="105">
        <v>14.97</v>
      </c>
    </row>
    <row r="356" spans="2:32" x14ac:dyDescent="0.3">
      <c r="B356" s="111">
        <v>58.499999999999709</v>
      </c>
      <c r="C356" s="104">
        <v>8.69</v>
      </c>
      <c r="D356" s="75">
        <v>8.75</v>
      </c>
      <c r="E356" s="75">
        <v>8.83</v>
      </c>
      <c r="F356" s="75">
        <v>10.029999999999999</v>
      </c>
      <c r="G356" s="75">
        <v>9.86</v>
      </c>
      <c r="H356" s="105">
        <v>9.89</v>
      </c>
      <c r="I356" s="104">
        <v>8.8800000000000008</v>
      </c>
      <c r="J356" s="75">
        <v>8.94</v>
      </c>
      <c r="K356" s="75">
        <v>9.0299999999999994</v>
      </c>
      <c r="L356" s="75">
        <v>4.9109999999999996</v>
      </c>
      <c r="M356" s="75">
        <v>4.7389999999999999</v>
      </c>
      <c r="N356" s="105">
        <v>4.6269999999999998</v>
      </c>
      <c r="O356" s="104">
        <v>9.9600000000000009</v>
      </c>
      <c r="P356" s="75">
        <v>9.93</v>
      </c>
      <c r="Q356" s="75">
        <v>9.93</v>
      </c>
      <c r="R356" s="75">
        <v>-3.3929999999999998</v>
      </c>
      <c r="S356" s="75">
        <v>-3.1269999999999998</v>
      </c>
      <c r="T356" s="105">
        <v>-3.1930000000000001</v>
      </c>
      <c r="U356" s="104">
        <v>10.34</v>
      </c>
      <c r="V356" s="75">
        <v>10.28</v>
      </c>
      <c r="W356" s="75">
        <v>10.210000000000001</v>
      </c>
      <c r="X356" s="75">
        <v>-1.9</v>
      </c>
      <c r="Y356" s="75">
        <v>-1.829</v>
      </c>
      <c r="Z356" s="105">
        <v>-2.64</v>
      </c>
      <c r="AA356" s="104">
        <v>8.33</v>
      </c>
      <c r="AB356" s="75">
        <v>8.3800000000000008</v>
      </c>
      <c r="AC356" s="75">
        <v>8.42</v>
      </c>
      <c r="AD356" s="75">
        <v>15.14</v>
      </c>
      <c r="AE356" s="75">
        <v>15.15</v>
      </c>
      <c r="AF356" s="105">
        <v>15.24</v>
      </c>
    </row>
    <row r="357" spans="2:32" x14ac:dyDescent="0.3">
      <c r="B357" s="111">
        <v>58.666666666666373</v>
      </c>
      <c r="C357" s="104">
        <v>8.74</v>
      </c>
      <c r="D357" s="75">
        <v>8.81</v>
      </c>
      <c r="E357" s="75">
        <v>8.89</v>
      </c>
      <c r="F357" s="75">
        <v>10.15</v>
      </c>
      <c r="G357" s="75">
        <v>10.24</v>
      </c>
      <c r="H357" s="105">
        <v>10.16</v>
      </c>
      <c r="I357" s="104">
        <v>8.9499999999999993</v>
      </c>
      <c r="J357" s="75">
        <v>9.01</v>
      </c>
      <c r="K357" s="75">
        <v>9.09</v>
      </c>
      <c r="L357" s="75">
        <v>4.835</v>
      </c>
      <c r="M357" s="75">
        <v>4.742</v>
      </c>
      <c r="N357" s="105">
        <v>4.4619999999999997</v>
      </c>
      <c r="O357" s="104">
        <v>9.89</v>
      </c>
      <c r="P357" s="75">
        <v>9.86</v>
      </c>
      <c r="Q357" s="75">
        <v>9.86</v>
      </c>
      <c r="R357" s="75">
        <v>-3.1589999999999998</v>
      </c>
      <c r="S357" s="75">
        <v>-3.2330000000000001</v>
      </c>
      <c r="T357" s="105">
        <v>-3.153</v>
      </c>
      <c r="U357" s="104">
        <v>10.27</v>
      </c>
      <c r="V357" s="75">
        <v>10.210000000000001</v>
      </c>
      <c r="W357" s="75">
        <v>10.130000000000001</v>
      </c>
      <c r="X357" s="75">
        <v>-1.661</v>
      </c>
      <c r="Y357" s="75">
        <v>-1.901</v>
      </c>
      <c r="Z357" s="105">
        <v>-2.5499999999999998</v>
      </c>
      <c r="AA357" s="104">
        <v>8.3800000000000008</v>
      </c>
      <c r="AB357" s="75">
        <v>8.44</v>
      </c>
      <c r="AC357" s="75">
        <v>8.4700000000000006</v>
      </c>
      <c r="AD357" s="75">
        <v>15.21</v>
      </c>
      <c r="AE357" s="75">
        <v>15.42</v>
      </c>
      <c r="AF357" s="105">
        <v>15.62</v>
      </c>
    </row>
    <row r="358" spans="2:32" x14ac:dyDescent="0.3">
      <c r="B358" s="111">
        <v>58.833333333333037</v>
      </c>
      <c r="C358" s="104">
        <v>8.8000000000000007</v>
      </c>
      <c r="D358" s="75">
        <v>8.8699999999999992</v>
      </c>
      <c r="E358" s="75">
        <v>8.94</v>
      </c>
      <c r="F358" s="75">
        <v>10.38</v>
      </c>
      <c r="G358" s="75">
        <v>10.62</v>
      </c>
      <c r="H358" s="105">
        <v>10.24</v>
      </c>
      <c r="I358" s="104">
        <v>9.0299999999999994</v>
      </c>
      <c r="J358" s="75">
        <v>9.09</v>
      </c>
      <c r="K358" s="75">
        <v>9.16</v>
      </c>
      <c r="L358" s="75">
        <v>4.71</v>
      </c>
      <c r="M358" s="75">
        <v>4.6680000000000001</v>
      </c>
      <c r="N358" s="105">
        <v>4.42</v>
      </c>
      <c r="O358" s="104">
        <v>9.82</v>
      </c>
      <c r="P358" s="75">
        <v>9.7799999999999994</v>
      </c>
      <c r="Q358" s="75">
        <v>9.7899999999999991</v>
      </c>
      <c r="R358" s="75">
        <v>-2.9289999999999998</v>
      </c>
      <c r="S358" s="75">
        <v>-3.169</v>
      </c>
      <c r="T358" s="105">
        <v>-2.9430000000000001</v>
      </c>
      <c r="U358" s="104">
        <v>10.199999999999999</v>
      </c>
      <c r="V358" s="75">
        <v>10.130000000000001</v>
      </c>
      <c r="W358" s="75">
        <v>10.07</v>
      </c>
      <c r="X358" s="75">
        <v>-1.3780000000000001</v>
      </c>
      <c r="Y358" s="75">
        <v>-1.8520000000000001</v>
      </c>
      <c r="Z358" s="105">
        <v>-2.2640000000000002</v>
      </c>
      <c r="AA358" s="104">
        <v>8.44</v>
      </c>
      <c r="AB358" s="75">
        <v>8.49</v>
      </c>
      <c r="AC358" s="75">
        <v>8.52</v>
      </c>
      <c r="AD358" s="75">
        <v>15.52</v>
      </c>
      <c r="AE358" s="75">
        <v>15.89</v>
      </c>
      <c r="AF358" s="105">
        <v>15.85</v>
      </c>
    </row>
    <row r="359" spans="2:32" x14ac:dyDescent="0.3">
      <c r="B359" s="111">
        <v>58.999999999999702</v>
      </c>
      <c r="C359" s="104">
        <v>8.86</v>
      </c>
      <c r="D359" s="75">
        <v>8.93</v>
      </c>
      <c r="E359" s="75">
        <v>9</v>
      </c>
      <c r="F359" s="75">
        <v>10.71</v>
      </c>
      <c r="G359" s="75">
        <v>10.83</v>
      </c>
      <c r="H359" s="105">
        <v>10.63</v>
      </c>
      <c r="I359" s="104">
        <v>9.09</v>
      </c>
      <c r="J359" s="75">
        <v>9.16</v>
      </c>
      <c r="K359" s="75">
        <v>9.23</v>
      </c>
      <c r="L359" s="75">
        <v>4.7370000000000001</v>
      </c>
      <c r="M359" s="75">
        <v>4.7789999999999999</v>
      </c>
      <c r="N359" s="105">
        <v>4.4820000000000002</v>
      </c>
      <c r="O359" s="104">
        <v>9.75</v>
      </c>
      <c r="P359" s="75">
        <v>9.7100000000000009</v>
      </c>
      <c r="Q359" s="75">
        <v>9.7100000000000009</v>
      </c>
      <c r="R359" s="75">
        <v>-2.899</v>
      </c>
      <c r="S359" s="75">
        <v>-3.0710000000000002</v>
      </c>
      <c r="T359" s="105">
        <v>-2.92</v>
      </c>
      <c r="U359" s="104">
        <v>10.130000000000001</v>
      </c>
      <c r="V359" s="75">
        <v>10.06</v>
      </c>
      <c r="W359" s="75">
        <v>9.99</v>
      </c>
      <c r="X359" s="75">
        <v>-1.3140000000000001</v>
      </c>
      <c r="Y359" s="75">
        <v>-1.7030000000000001</v>
      </c>
      <c r="Z359" s="105">
        <v>-2.2949999999999999</v>
      </c>
      <c r="AA359" s="104">
        <v>8.49</v>
      </c>
      <c r="AB359" s="75">
        <v>8.5399999999999991</v>
      </c>
      <c r="AC359" s="75">
        <v>8.57</v>
      </c>
      <c r="AD359" s="75">
        <v>15.98</v>
      </c>
      <c r="AE359" s="75">
        <v>16.22</v>
      </c>
      <c r="AF359" s="105">
        <v>16.309999999999999</v>
      </c>
    </row>
    <row r="360" spans="2:32" x14ac:dyDescent="0.3">
      <c r="B360" s="111">
        <v>59.166666666666366</v>
      </c>
      <c r="C360" s="104">
        <v>8.93</v>
      </c>
      <c r="D360" s="75">
        <v>8.99</v>
      </c>
      <c r="E360" s="75">
        <v>9.0500000000000007</v>
      </c>
      <c r="F360" s="75">
        <v>11.05</v>
      </c>
      <c r="G360" s="75">
        <v>11.05</v>
      </c>
      <c r="H360" s="105">
        <v>10.8</v>
      </c>
      <c r="I360" s="104">
        <v>9.17</v>
      </c>
      <c r="J360" s="75">
        <v>9.23</v>
      </c>
      <c r="K360" s="75">
        <v>9.2899999999999991</v>
      </c>
      <c r="L360" s="75">
        <v>4.7960000000000003</v>
      </c>
      <c r="M360" s="75">
        <v>4.7549999999999999</v>
      </c>
      <c r="N360" s="105">
        <v>4.8330000000000002</v>
      </c>
      <c r="O360" s="104">
        <v>9.67</v>
      </c>
      <c r="P360" s="75">
        <v>9.6300000000000008</v>
      </c>
      <c r="Q360" s="75">
        <v>9.6300000000000008</v>
      </c>
      <c r="R360" s="75">
        <v>-3.206</v>
      </c>
      <c r="S360" s="75">
        <v>-3.1560000000000001</v>
      </c>
      <c r="T360" s="105">
        <v>-3.1</v>
      </c>
      <c r="U360" s="104">
        <v>10.050000000000001</v>
      </c>
      <c r="V360" s="75">
        <v>9.98</v>
      </c>
      <c r="W360" s="75">
        <v>9.91</v>
      </c>
      <c r="X360" s="75">
        <v>-1.0389999999999999</v>
      </c>
      <c r="Y360" s="75">
        <v>-1.5089999999999999</v>
      </c>
      <c r="Z360" s="105">
        <v>-1.9710000000000001</v>
      </c>
      <c r="AA360" s="104">
        <v>8.5500000000000007</v>
      </c>
      <c r="AB360" s="75">
        <v>8.6</v>
      </c>
      <c r="AC360" s="75">
        <v>8.6199999999999992</v>
      </c>
      <c r="AD360" s="75">
        <v>16.48</v>
      </c>
      <c r="AE360" s="75">
        <v>16.579999999999998</v>
      </c>
      <c r="AF360" s="105">
        <v>16.739999999999998</v>
      </c>
    </row>
    <row r="361" spans="2:32" x14ac:dyDescent="0.3">
      <c r="B361" s="111">
        <v>59.33333333333303</v>
      </c>
      <c r="C361" s="104">
        <v>8.9700000000000006</v>
      </c>
      <c r="D361" s="75">
        <v>9.0399999999999991</v>
      </c>
      <c r="E361" s="75">
        <v>9.1</v>
      </c>
      <c r="F361" s="75">
        <v>11.16</v>
      </c>
      <c r="G361" s="75">
        <v>11.06</v>
      </c>
      <c r="H361" s="105">
        <v>10.93</v>
      </c>
      <c r="I361" s="104">
        <v>9.23</v>
      </c>
      <c r="J361" s="75">
        <v>9.2899999999999991</v>
      </c>
      <c r="K361" s="75">
        <v>9.36</v>
      </c>
      <c r="L361" s="75">
        <v>4.8609999999999998</v>
      </c>
      <c r="M361" s="75">
        <v>4.8630000000000004</v>
      </c>
      <c r="N361" s="105">
        <v>4.8879999999999999</v>
      </c>
      <c r="O361" s="104">
        <v>9.6</v>
      </c>
      <c r="P361" s="75">
        <v>9.56</v>
      </c>
      <c r="Q361" s="75">
        <v>9.5500000000000007</v>
      </c>
      <c r="R361" s="75">
        <v>-3.0270000000000001</v>
      </c>
      <c r="S361" s="75">
        <v>-2.9380000000000002</v>
      </c>
      <c r="T361" s="105">
        <v>-3.0990000000000002</v>
      </c>
      <c r="U361" s="104">
        <v>9.98</v>
      </c>
      <c r="V361" s="75">
        <v>9.91</v>
      </c>
      <c r="W361" s="75">
        <v>9.84</v>
      </c>
      <c r="X361" s="75">
        <v>-1.5</v>
      </c>
      <c r="Y361" s="75">
        <v>-1.946</v>
      </c>
      <c r="Z361" s="105">
        <v>-2.3519999999999999</v>
      </c>
      <c r="AA361" s="104">
        <v>8.59</v>
      </c>
      <c r="AB361" s="75">
        <v>8.65</v>
      </c>
      <c r="AC361" s="75">
        <v>8.67</v>
      </c>
      <c r="AD361" s="75">
        <v>16.66</v>
      </c>
      <c r="AE361" s="75">
        <v>16.940000000000001</v>
      </c>
      <c r="AF361" s="105">
        <v>17.100000000000001</v>
      </c>
    </row>
    <row r="362" spans="2:32" x14ac:dyDescent="0.3">
      <c r="B362" s="111">
        <v>59.499999999999694</v>
      </c>
      <c r="C362" s="104">
        <v>9.02</v>
      </c>
      <c r="D362" s="75">
        <v>9.1</v>
      </c>
      <c r="E362" s="75">
        <v>9.16</v>
      </c>
      <c r="F362" s="75">
        <v>11.26</v>
      </c>
      <c r="G362" s="75">
        <v>11.59</v>
      </c>
      <c r="H362" s="105">
        <v>11.21</v>
      </c>
      <c r="I362" s="104">
        <v>9.3000000000000007</v>
      </c>
      <c r="J362" s="75">
        <v>9.3699999999999992</v>
      </c>
      <c r="K362" s="75">
        <v>9.43</v>
      </c>
      <c r="L362" s="75">
        <v>4.8600000000000003</v>
      </c>
      <c r="M362" s="75">
        <v>4.8079999999999998</v>
      </c>
      <c r="N362" s="105">
        <v>4.8940000000000001</v>
      </c>
      <c r="O362" s="104">
        <v>9.5299999999999994</v>
      </c>
      <c r="P362" s="75">
        <v>9.49</v>
      </c>
      <c r="Q362" s="75">
        <v>9.49</v>
      </c>
      <c r="R362" s="75">
        <v>-2.988</v>
      </c>
      <c r="S362" s="75">
        <v>-2.9079999999999999</v>
      </c>
      <c r="T362" s="105">
        <v>-3.0070000000000001</v>
      </c>
      <c r="U362" s="104">
        <v>9.91</v>
      </c>
      <c r="V362" s="75">
        <v>9.85</v>
      </c>
      <c r="W362" s="75">
        <v>9.77</v>
      </c>
      <c r="X362" s="75">
        <v>-1.07</v>
      </c>
      <c r="Y362" s="75">
        <v>-1.351</v>
      </c>
      <c r="Z362" s="105">
        <v>-2.5680000000000001</v>
      </c>
      <c r="AA362" s="104">
        <v>8.64</v>
      </c>
      <c r="AB362" s="75">
        <v>8.6999999999999993</v>
      </c>
      <c r="AC362" s="75">
        <v>8.73</v>
      </c>
      <c r="AD362" s="75">
        <v>17.010000000000002</v>
      </c>
      <c r="AE362" s="75">
        <v>17.5</v>
      </c>
      <c r="AF362" s="105">
        <v>17.52</v>
      </c>
    </row>
    <row r="363" spans="2:32" x14ac:dyDescent="0.3">
      <c r="B363" s="111">
        <v>59.666666666666359</v>
      </c>
      <c r="C363" s="104">
        <v>9.08</v>
      </c>
      <c r="D363" s="75">
        <v>9.15</v>
      </c>
      <c r="E363" s="75">
        <v>9.1999999999999993</v>
      </c>
      <c r="F363" s="75">
        <v>11.63</v>
      </c>
      <c r="G363" s="75">
        <v>11.74</v>
      </c>
      <c r="H363" s="105">
        <v>11.29</v>
      </c>
      <c r="I363" s="104">
        <v>9.3699999999999992</v>
      </c>
      <c r="J363" s="75">
        <v>9.43</v>
      </c>
      <c r="K363" s="75">
        <v>9.49</v>
      </c>
      <c r="L363" s="75">
        <v>4.9809999999999999</v>
      </c>
      <c r="M363" s="75">
        <v>5.1929999999999996</v>
      </c>
      <c r="N363" s="105">
        <v>4.9690000000000003</v>
      </c>
      <c r="O363" s="104">
        <v>9.4499999999999993</v>
      </c>
      <c r="P363" s="75">
        <v>9.42</v>
      </c>
      <c r="Q363" s="75">
        <v>9.41</v>
      </c>
      <c r="R363" s="75">
        <v>-3.0760000000000001</v>
      </c>
      <c r="S363" s="75">
        <v>-3.0659999999999998</v>
      </c>
      <c r="T363" s="105">
        <v>-2.9969999999999999</v>
      </c>
      <c r="U363" s="104">
        <v>9.84</v>
      </c>
      <c r="V363" s="75">
        <v>9.77</v>
      </c>
      <c r="W363" s="75">
        <v>9.6999999999999993</v>
      </c>
      <c r="X363" s="75">
        <v>-1.355</v>
      </c>
      <c r="Y363" s="75">
        <v>-1.9330000000000001</v>
      </c>
      <c r="Z363" s="105">
        <v>-2.133</v>
      </c>
      <c r="AA363" s="104">
        <v>8.6999999999999993</v>
      </c>
      <c r="AB363" s="75">
        <v>8.75</v>
      </c>
      <c r="AC363" s="75">
        <v>8.77</v>
      </c>
      <c r="AD363" s="75">
        <v>17.420000000000002</v>
      </c>
      <c r="AE363" s="75">
        <v>17.899999999999999</v>
      </c>
      <c r="AF363" s="105">
        <v>17.71</v>
      </c>
    </row>
    <row r="364" spans="2:32" x14ac:dyDescent="0.3">
      <c r="B364" s="111">
        <v>59.833333333333023</v>
      </c>
      <c r="C364" s="104">
        <v>9.14</v>
      </c>
      <c r="D364" s="75">
        <v>9.1999999999999993</v>
      </c>
      <c r="E364" s="75">
        <v>9.26</v>
      </c>
      <c r="F364" s="75">
        <v>11.88</v>
      </c>
      <c r="G364" s="75">
        <v>12.04</v>
      </c>
      <c r="H364" s="105">
        <v>11.82</v>
      </c>
      <c r="I364" s="104">
        <v>9.44</v>
      </c>
      <c r="J364" s="75">
        <v>9.5</v>
      </c>
      <c r="K364" s="75">
        <v>9.56</v>
      </c>
      <c r="L364" s="75">
        <v>5.0759999999999996</v>
      </c>
      <c r="M364" s="75">
        <v>5.1120000000000001</v>
      </c>
      <c r="N364" s="105">
        <v>4.9210000000000003</v>
      </c>
      <c r="O364" s="104">
        <v>9.3699999999999992</v>
      </c>
      <c r="P364" s="75">
        <v>9.34</v>
      </c>
      <c r="Q364" s="75">
        <v>9.33</v>
      </c>
      <c r="R364" s="75">
        <v>-2.899</v>
      </c>
      <c r="S364" s="75">
        <v>-3.0710000000000002</v>
      </c>
      <c r="T364" s="105">
        <v>-2.92</v>
      </c>
      <c r="U364" s="104">
        <v>9.76</v>
      </c>
      <c r="V364" s="75">
        <v>9.6999999999999993</v>
      </c>
      <c r="W364" s="75">
        <v>9.6199999999999992</v>
      </c>
      <c r="X364" s="75">
        <v>-1.373</v>
      </c>
      <c r="Y364" s="75">
        <v>-1.867</v>
      </c>
      <c r="Z364" s="105">
        <v>-2.3340000000000001</v>
      </c>
      <c r="AA364" s="104">
        <v>8.75</v>
      </c>
      <c r="AB364" s="75">
        <v>8.7899999999999991</v>
      </c>
      <c r="AC364" s="75">
        <v>8.82</v>
      </c>
      <c r="AD364" s="75">
        <v>17.920000000000002</v>
      </c>
      <c r="AE364" s="75">
        <v>18.32</v>
      </c>
      <c r="AF364" s="105">
        <v>18.37</v>
      </c>
    </row>
    <row r="365" spans="2:32" x14ac:dyDescent="0.3">
      <c r="B365" s="111">
        <v>59.999999999999687</v>
      </c>
      <c r="C365" s="104">
        <v>9.1999999999999993</v>
      </c>
      <c r="D365" s="75">
        <v>9.26</v>
      </c>
      <c r="E365" s="75">
        <v>9.32</v>
      </c>
      <c r="F365" s="75">
        <v>12.16</v>
      </c>
      <c r="G365" s="75">
        <v>12.05</v>
      </c>
      <c r="H365" s="105">
        <v>11.98</v>
      </c>
      <c r="I365" s="104">
        <v>9.51</v>
      </c>
      <c r="J365" s="75">
        <v>9.57</v>
      </c>
      <c r="K365" s="75">
        <v>9.6300000000000008</v>
      </c>
      <c r="L365" s="75">
        <v>5.1520000000000001</v>
      </c>
      <c r="M365" s="75">
        <v>5.3380000000000001</v>
      </c>
      <c r="N365" s="105">
        <v>5.5019999999999998</v>
      </c>
      <c r="O365" s="104">
        <v>8.89</v>
      </c>
      <c r="P365" s="75">
        <v>8.76</v>
      </c>
      <c r="Q365" s="75">
        <v>8.65</v>
      </c>
      <c r="R365" s="75">
        <v>-3.206</v>
      </c>
      <c r="S365" s="75">
        <v>-3.1560000000000001</v>
      </c>
      <c r="T365" s="105">
        <v>-3.1</v>
      </c>
      <c r="U365" s="104">
        <v>9.36</v>
      </c>
      <c r="V365" s="75">
        <v>9.23</v>
      </c>
      <c r="W365" s="75">
        <v>9.07</v>
      </c>
      <c r="X365" s="75">
        <v>-1.0309999999999999</v>
      </c>
      <c r="Y365" s="75">
        <v>-1.69</v>
      </c>
      <c r="Z365" s="105">
        <v>-2.516</v>
      </c>
      <c r="AA365" s="104">
        <v>8.8000000000000007</v>
      </c>
      <c r="AB365" s="75">
        <v>8.84</v>
      </c>
      <c r="AC365" s="75">
        <v>8.8800000000000008</v>
      </c>
      <c r="AD365" s="75">
        <v>18.329999999999998</v>
      </c>
      <c r="AE365" s="75">
        <v>18.52</v>
      </c>
      <c r="AF365" s="105">
        <v>18.77</v>
      </c>
    </row>
    <row r="366" spans="2:32" x14ac:dyDescent="0.3">
      <c r="B366" s="111">
        <v>60.166666666666352</v>
      </c>
      <c r="C366" s="104">
        <v>9.25</v>
      </c>
      <c r="D366" s="75">
        <v>9.33</v>
      </c>
      <c r="E366" s="75">
        <v>9.39</v>
      </c>
      <c r="F366" s="75">
        <v>12.21</v>
      </c>
      <c r="G366" s="75">
        <v>12.29</v>
      </c>
      <c r="H366" s="105">
        <v>12.1</v>
      </c>
      <c r="I366" s="104">
        <v>9.57</v>
      </c>
      <c r="J366" s="75">
        <v>9.64</v>
      </c>
      <c r="K366" s="75">
        <v>9.69</v>
      </c>
      <c r="L366" s="75">
        <v>5.3019999999999996</v>
      </c>
      <c r="M366" s="75">
        <v>5.3109999999999999</v>
      </c>
      <c r="N366" s="105">
        <v>5.444</v>
      </c>
      <c r="O366" s="104">
        <v>8.26</v>
      </c>
      <c r="P366" s="75">
        <v>8.18</v>
      </c>
      <c r="Q366" s="75">
        <v>8.08</v>
      </c>
      <c r="R366" s="75">
        <v>-2.6989999999999998</v>
      </c>
      <c r="S366" s="75">
        <v>-2.4729999999999999</v>
      </c>
      <c r="T366" s="105">
        <v>-2.6230000000000002</v>
      </c>
      <c r="U366" s="104">
        <v>8.7899999999999991</v>
      </c>
      <c r="V366" s="75">
        <v>8.68</v>
      </c>
      <c r="W366" s="75">
        <v>8.52</v>
      </c>
      <c r="X366" s="75">
        <v>-0.92500000000000004</v>
      </c>
      <c r="Y366" s="75">
        <v>-1.1459999999999999</v>
      </c>
      <c r="Z366" s="105">
        <v>-1.925</v>
      </c>
      <c r="AA366" s="104">
        <v>8.85</v>
      </c>
      <c r="AB366" s="75">
        <v>8.91</v>
      </c>
      <c r="AC366" s="75">
        <v>8.93</v>
      </c>
      <c r="AD366" s="75">
        <v>18.579999999999998</v>
      </c>
      <c r="AE366" s="75">
        <v>19.05</v>
      </c>
      <c r="AF366" s="105">
        <v>19.239999999999998</v>
      </c>
    </row>
    <row r="367" spans="2:32" x14ac:dyDescent="0.3">
      <c r="B367" s="111">
        <v>60.333333333333016</v>
      </c>
      <c r="C367" s="104">
        <v>9.31</v>
      </c>
      <c r="D367" s="75">
        <v>9.4</v>
      </c>
      <c r="E367" s="75">
        <v>9.48</v>
      </c>
      <c r="F367" s="75">
        <v>12.16</v>
      </c>
      <c r="G367" s="75">
        <v>12.31</v>
      </c>
      <c r="H367" s="105">
        <v>11.55</v>
      </c>
      <c r="I367" s="104">
        <v>9.6300000000000008</v>
      </c>
      <c r="J367" s="75">
        <v>9.7100000000000009</v>
      </c>
      <c r="K367" s="75">
        <v>9.77</v>
      </c>
      <c r="L367" s="75">
        <v>5.2130000000000001</v>
      </c>
      <c r="M367" s="75">
        <v>5.4340000000000002</v>
      </c>
      <c r="N367" s="105">
        <v>5.5529999999999999</v>
      </c>
      <c r="O367" s="104">
        <v>7.9340000000000002</v>
      </c>
      <c r="P367" s="75">
        <v>7.8579999999999997</v>
      </c>
      <c r="Q367" s="75">
        <v>7.7590000000000003</v>
      </c>
      <c r="R367" s="75">
        <v>-2.2349999999999999</v>
      </c>
      <c r="S367" s="75">
        <v>-2.2010000000000001</v>
      </c>
      <c r="T367" s="105">
        <v>-1.863</v>
      </c>
      <c r="U367" s="104">
        <v>8.3800000000000008</v>
      </c>
      <c r="V367" s="75">
        <v>8.2799999999999994</v>
      </c>
      <c r="W367" s="75">
        <v>8.11</v>
      </c>
      <c r="X367" s="75">
        <v>-1.125</v>
      </c>
      <c r="Y367" s="75">
        <v>-1.349</v>
      </c>
      <c r="Z367" s="105">
        <v>-1.9650000000000001</v>
      </c>
      <c r="AA367" s="104">
        <v>8.9</v>
      </c>
      <c r="AB367" s="75">
        <v>8.9700000000000006</v>
      </c>
      <c r="AC367" s="75">
        <v>9</v>
      </c>
      <c r="AD367" s="75">
        <v>18.96</v>
      </c>
      <c r="AE367" s="75">
        <v>19.7</v>
      </c>
      <c r="AF367" s="105">
        <v>19.760000000000002</v>
      </c>
    </row>
    <row r="368" spans="2:32" x14ac:dyDescent="0.3">
      <c r="B368" s="111">
        <v>60.49999999999968</v>
      </c>
      <c r="C368" s="104">
        <v>9.3800000000000008</v>
      </c>
      <c r="D368" s="75">
        <v>9.51</v>
      </c>
      <c r="E368" s="75">
        <v>9.6</v>
      </c>
      <c r="F368" s="75">
        <v>11.56</v>
      </c>
      <c r="G368" s="75">
        <v>11.32</v>
      </c>
      <c r="H368" s="105">
        <v>10.19</v>
      </c>
      <c r="I368" s="104">
        <v>9.69</v>
      </c>
      <c r="J368" s="75">
        <v>9.7899999999999991</v>
      </c>
      <c r="K368" s="75">
        <v>9.84</v>
      </c>
      <c r="L368" s="75">
        <v>5.4080000000000004</v>
      </c>
      <c r="M368" s="75">
        <v>5.931</v>
      </c>
      <c r="N368" s="105">
        <v>5.9909999999999997</v>
      </c>
      <c r="O368" s="104">
        <v>7.68</v>
      </c>
      <c r="P368" s="75">
        <v>7.6059999999999999</v>
      </c>
      <c r="Q368" s="75">
        <v>7.5069999999999997</v>
      </c>
      <c r="R368" s="75">
        <v>-1.665</v>
      </c>
      <c r="S368" s="75">
        <v>-1.29</v>
      </c>
      <c r="T368" s="105">
        <v>-1.47</v>
      </c>
      <c r="U368" s="104">
        <v>8.08</v>
      </c>
      <c r="V368" s="75">
        <v>7.976</v>
      </c>
      <c r="W368" s="75">
        <v>7.7990000000000004</v>
      </c>
      <c r="X368" s="75">
        <v>-1.1299999999999999</v>
      </c>
      <c r="Y368" s="75">
        <v>-0.94299999999999995</v>
      </c>
      <c r="Z368" s="105">
        <v>-1.1339999999999999</v>
      </c>
      <c r="AA368" s="104">
        <v>8.9600000000000009</v>
      </c>
      <c r="AB368" s="75">
        <v>9.0399999999999991</v>
      </c>
      <c r="AC368" s="75">
        <v>9.06</v>
      </c>
      <c r="AD368" s="75">
        <v>19.309999999999999</v>
      </c>
      <c r="AE368" s="75">
        <v>20.3</v>
      </c>
      <c r="AF368" s="105">
        <v>20.32</v>
      </c>
    </row>
    <row r="369" spans="2:32" x14ac:dyDescent="0.3">
      <c r="B369" s="111">
        <v>60.666666666666345</v>
      </c>
      <c r="C369" s="104">
        <v>9.5</v>
      </c>
      <c r="D369" s="75">
        <v>9.64</v>
      </c>
      <c r="E369" s="75">
        <v>9.74</v>
      </c>
      <c r="F369" s="75">
        <v>10.43</v>
      </c>
      <c r="G369" s="75">
        <v>9.77</v>
      </c>
      <c r="H369" s="105">
        <v>8.67</v>
      </c>
      <c r="I369" s="104">
        <v>9.77</v>
      </c>
      <c r="J369" s="75">
        <v>9.85</v>
      </c>
      <c r="K369" s="75">
        <v>9.9</v>
      </c>
      <c r="L369" s="75">
        <v>5.3419999999999996</v>
      </c>
      <c r="M369" s="75">
        <v>6.2409999999999997</v>
      </c>
      <c r="N369" s="105">
        <v>6.26</v>
      </c>
      <c r="O369" s="104">
        <v>7.4119999999999999</v>
      </c>
      <c r="P369" s="75">
        <v>7.3209999999999997</v>
      </c>
      <c r="Q369" s="75">
        <v>7.194</v>
      </c>
      <c r="R369" s="75">
        <v>-1.3140000000000001</v>
      </c>
      <c r="S369" s="75">
        <v>-0.49</v>
      </c>
      <c r="T369" s="105">
        <v>-0.79800000000000004</v>
      </c>
      <c r="U369" s="104">
        <v>7.7969999999999997</v>
      </c>
      <c r="V369" s="75">
        <v>7.6840000000000002</v>
      </c>
      <c r="W369" s="75">
        <v>7.4850000000000003</v>
      </c>
      <c r="X369" s="75">
        <v>-0.71199999999999997</v>
      </c>
      <c r="Y369" s="75">
        <v>-0.627</v>
      </c>
      <c r="Z369" s="105">
        <v>-0.79700000000000004</v>
      </c>
      <c r="AA369" s="104">
        <v>9.02</v>
      </c>
      <c r="AB369" s="75">
        <v>9.09</v>
      </c>
      <c r="AC369" s="75">
        <v>9.1199999999999992</v>
      </c>
      <c r="AD369" s="75">
        <v>20</v>
      </c>
      <c r="AE369" s="75">
        <v>20.53</v>
      </c>
      <c r="AF369" s="105">
        <v>20.49</v>
      </c>
    </row>
    <row r="370" spans="2:32" x14ac:dyDescent="0.3">
      <c r="B370" s="111">
        <v>60.833333333333009</v>
      </c>
      <c r="C370" s="104">
        <v>9.64</v>
      </c>
      <c r="D370" s="75">
        <v>9.7899999999999991</v>
      </c>
      <c r="E370" s="75">
        <v>9.89</v>
      </c>
      <c r="F370" s="75">
        <v>9.0399999999999991</v>
      </c>
      <c r="G370" s="75">
        <v>8.26</v>
      </c>
      <c r="H370" s="105">
        <v>7.4619999999999997</v>
      </c>
      <c r="I370" s="104">
        <v>9.84</v>
      </c>
      <c r="J370" s="75">
        <v>9.92</v>
      </c>
      <c r="K370" s="75">
        <v>9.9700000000000006</v>
      </c>
      <c r="L370" s="75">
        <v>5.9189999999999996</v>
      </c>
      <c r="M370" s="75">
        <v>6.2030000000000003</v>
      </c>
      <c r="N370" s="105">
        <v>6.3650000000000002</v>
      </c>
      <c r="O370" s="104">
        <v>7.101</v>
      </c>
      <c r="P370" s="75">
        <v>7.0229999999999997</v>
      </c>
      <c r="Q370" s="75">
        <v>6.9080000000000004</v>
      </c>
      <c r="R370" s="75">
        <v>-0.68100000000000005</v>
      </c>
      <c r="S370" s="75">
        <v>-0.27900000000000003</v>
      </c>
      <c r="T370" s="105">
        <v>-0.27600000000000002</v>
      </c>
      <c r="U370" s="104">
        <v>7.5010000000000003</v>
      </c>
      <c r="V370" s="75">
        <v>7.391</v>
      </c>
      <c r="W370" s="75">
        <v>7.2</v>
      </c>
      <c r="X370" s="75">
        <v>-0.69699999999999995</v>
      </c>
      <c r="Y370" s="75">
        <v>-0.379</v>
      </c>
      <c r="Z370" s="105">
        <v>-0.499</v>
      </c>
      <c r="AA370" s="104">
        <v>9.08</v>
      </c>
      <c r="AB370" s="75">
        <v>9.15</v>
      </c>
      <c r="AC370" s="75">
        <v>9.19</v>
      </c>
      <c r="AD370" s="75">
        <v>20.36</v>
      </c>
      <c r="AE370" s="75">
        <v>20.72</v>
      </c>
      <c r="AF370" s="105">
        <v>20.8</v>
      </c>
    </row>
    <row r="371" spans="2:32" x14ac:dyDescent="0.3">
      <c r="B371" s="111">
        <v>60.999999999999673</v>
      </c>
      <c r="C371" s="104">
        <v>9.7899999999999991</v>
      </c>
      <c r="D371" s="75">
        <v>9.93</v>
      </c>
      <c r="E371" s="75">
        <v>10.029999999999999</v>
      </c>
      <c r="F371" s="75">
        <v>7.81</v>
      </c>
      <c r="G371" s="75">
        <v>7.2610000000000001</v>
      </c>
      <c r="H371" s="105">
        <v>6.3280000000000003</v>
      </c>
      <c r="I371" s="104">
        <v>9.9</v>
      </c>
      <c r="J371" s="75">
        <v>9.99</v>
      </c>
      <c r="K371" s="75">
        <v>10.039999999999999</v>
      </c>
      <c r="L371" s="75">
        <v>6.1260000000000003</v>
      </c>
      <c r="M371" s="75">
        <v>6.2610000000000001</v>
      </c>
      <c r="N371" s="105">
        <v>6.4050000000000002</v>
      </c>
      <c r="O371" s="104">
        <v>6.859</v>
      </c>
      <c r="P371" s="75">
        <v>6.8029999999999999</v>
      </c>
      <c r="Q371" s="75">
        <v>6.7089999999999996</v>
      </c>
      <c r="R371" s="75">
        <v>5.0000000000000001E-3</v>
      </c>
      <c r="S371" s="75">
        <v>0.311</v>
      </c>
      <c r="T371" s="105">
        <v>0.16600000000000001</v>
      </c>
      <c r="U371" s="104">
        <v>7.258</v>
      </c>
      <c r="V371" s="75">
        <v>7.1619999999999999</v>
      </c>
      <c r="W371" s="75">
        <v>6.99</v>
      </c>
      <c r="X371" s="75">
        <v>-0.54800000000000004</v>
      </c>
      <c r="Y371" s="75">
        <v>-0.59299999999999997</v>
      </c>
      <c r="Z371" s="105">
        <v>2.4E-2</v>
      </c>
      <c r="AA371" s="104">
        <v>9.14</v>
      </c>
      <c r="AB371" s="75">
        <v>9.2200000000000006</v>
      </c>
      <c r="AC371" s="75">
        <v>9.25</v>
      </c>
      <c r="AD371" s="75">
        <v>20.72</v>
      </c>
      <c r="AE371" s="75">
        <v>21.07</v>
      </c>
      <c r="AF371" s="105">
        <v>20.9</v>
      </c>
    </row>
    <row r="372" spans="2:32" x14ac:dyDescent="0.3">
      <c r="B372" s="111">
        <v>61.166666666666337</v>
      </c>
      <c r="C372" s="104">
        <v>9.91</v>
      </c>
      <c r="D372" s="75">
        <v>10.06</v>
      </c>
      <c r="E372" s="75">
        <v>10.16</v>
      </c>
      <c r="F372" s="75">
        <v>6.6130000000000004</v>
      </c>
      <c r="G372" s="75">
        <v>6.0309999999999997</v>
      </c>
      <c r="H372" s="105">
        <v>5.29</v>
      </c>
      <c r="I372" s="104">
        <v>9.9600000000000009</v>
      </c>
      <c r="J372" s="75">
        <v>10.050000000000001</v>
      </c>
      <c r="K372" s="75">
        <v>10.1</v>
      </c>
      <c r="L372" s="75">
        <v>6.2009999999999996</v>
      </c>
      <c r="M372" s="75">
        <v>6.5590000000000002</v>
      </c>
      <c r="N372" s="105">
        <v>6.4619999999999997</v>
      </c>
      <c r="O372" s="104">
        <v>6.6769999999999996</v>
      </c>
      <c r="P372" s="75">
        <v>6.6440000000000001</v>
      </c>
      <c r="Q372" s="75">
        <v>6.5650000000000004</v>
      </c>
      <c r="R372" s="75">
        <v>4.8000000000000001E-2</v>
      </c>
      <c r="S372" s="75">
        <v>0.372</v>
      </c>
      <c r="T372" s="105">
        <v>0.17499999999999999</v>
      </c>
      <c r="U372" s="104">
        <v>7.0679999999999996</v>
      </c>
      <c r="V372" s="75">
        <v>6.9960000000000004</v>
      </c>
      <c r="W372" s="75">
        <v>6.843</v>
      </c>
      <c r="X372" s="75">
        <v>-0.41799999999999998</v>
      </c>
      <c r="Y372" s="75">
        <v>-0.78900000000000003</v>
      </c>
      <c r="Z372" s="105">
        <v>-6.8000000000000005E-2</v>
      </c>
      <c r="AA372" s="104">
        <v>9.2100000000000009</v>
      </c>
      <c r="AB372" s="75">
        <v>9.27</v>
      </c>
      <c r="AC372" s="75">
        <v>9.32</v>
      </c>
      <c r="AD372" s="75">
        <v>20.73</v>
      </c>
      <c r="AE372" s="75">
        <v>21.17</v>
      </c>
      <c r="AF372" s="105">
        <v>21.21</v>
      </c>
    </row>
    <row r="373" spans="2:32" x14ac:dyDescent="0.3">
      <c r="B373" s="111">
        <v>61.333333333333002</v>
      </c>
      <c r="C373" s="104">
        <v>10.050000000000001</v>
      </c>
      <c r="D373" s="75">
        <v>10.18</v>
      </c>
      <c r="E373" s="75">
        <v>10.3</v>
      </c>
      <c r="F373" s="75">
        <v>5.8920000000000003</v>
      </c>
      <c r="G373" s="75">
        <v>5.0170000000000003</v>
      </c>
      <c r="H373" s="105">
        <v>4.4279999999999999</v>
      </c>
      <c r="I373" s="104">
        <v>10.029999999999999</v>
      </c>
      <c r="J373" s="75">
        <v>10.11</v>
      </c>
      <c r="K373" s="75">
        <v>10.17</v>
      </c>
      <c r="L373" s="75">
        <v>6.165</v>
      </c>
      <c r="M373" s="75">
        <v>6.4340000000000002</v>
      </c>
      <c r="N373" s="105">
        <v>6.5709999999999997</v>
      </c>
      <c r="O373" s="104">
        <v>6.5460000000000003</v>
      </c>
      <c r="P373" s="75">
        <v>6.5119999999999996</v>
      </c>
      <c r="Q373" s="75">
        <v>6.4720000000000004</v>
      </c>
      <c r="R373" s="75">
        <v>5.8000000000000003E-2</v>
      </c>
      <c r="S373" s="75">
        <v>0.28499999999999998</v>
      </c>
      <c r="T373" s="105">
        <v>0.214</v>
      </c>
      <c r="U373" s="104">
        <v>6.9329999999999998</v>
      </c>
      <c r="V373" s="75">
        <v>6.867</v>
      </c>
      <c r="W373" s="75">
        <v>6.7510000000000003</v>
      </c>
      <c r="X373" s="75">
        <v>-0.26500000000000001</v>
      </c>
      <c r="Y373" s="75">
        <v>-0.63100000000000001</v>
      </c>
      <c r="Z373" s="105">
        <v>1.0999999999999999E-2</v>
      </c>
      <c r="AA373" s="104">
        <v>9.27</v>
      </c>
      <c r="AB373" s="75">
        <v>9.34</v>
      </c>
      <c r="AC373" s="75">
        <v>9.39</v>
      </c>
      <c r="AD373" s="75">
        <v>21.15</v>
      </c>
      <c r="AE373" s="75">
        <v>21.43</v>
      </c>
      <c r="AF373" s="105">
        <v>21.41</v>
      </c>
    </row>
    <row r="374" spans="2:32" x14ac:dyDescent="0.3">
      <c r="B374" s="111">
        <v>61.499999999999666</v>
      </c>
      <c r="C374" s="104">
        <v>10.17</v>
      </c>
      <c r="D374" s="75">
        <v>10.31</v>
      </c>
      <c r="E374" s="75">
        <v>10.42</v>
      </c>
      <c r="F374" s="75">
        <v>4.93</v>
      </c>
      <c r="G374" s="75">
        <v>4.1790000000000003</v>
      </c>
      <c r="H374" s="105">
        <v>3.4649999999999999</v>
      </c>
      <c r="I374" s="104">
        <v>10.09</v>
      </c>
      <c r="J374" s="75">
        <v>10.17</v>
      </c>
      <c r="K374" s="75">
        <v>10.23</v>
      </c>
      <c r="L374" s="75">
        <v>6.62</v>
      </c>
      <c r="M374" s="75">
        <v>6.5119999999999996</v>
      </c>
      <c r="N374" s="105">
        <v>7.0519999999999996</v>
      </c>
      <c r="O374" s="104">
        <v>6.4580000000000002</v>
      </c>
      <c r="P374" s="75">
        <v>6.42</v>
      </c>
      <c r="Q374" s="75">
        <v>6.3890000000000002</v>
      </c>
      <c r="R374" s="75">
        <v>-0.13900000000000001</v>
      </c>
      <c r="S374" s="75">
        <v>0.36299999999999999</v>
      </c>
      <c r="T374" s="105">
        <v>0.16700000000000001</v>
      </c>
      <c r="U374" s="104">
        <v>6.8479999999999999</v>
      </c>
      <c r="V374" s="75">
        <v>6.7809999999999997</v>
      </c>
      <c r="W374" s="75">
        <v>6.6769999999999996</v>
      </c>
      <c r="X374" s="75">
        <v>-0.42099999999999999</v>
      </c>
      <c r="Y374" s="75">
        <v>-0.64500000000000002</v>
      </c>
      <c r="Z374" s="105">
        <v>-0.22500000000000001</v>
      </c>
      <c r="AA374" s="104">
        <v>9.33</v>
      </c>
      <c r="AB374" s="75">
        <v>9.41</v>
      </c>
      <c r="AC374" s="75">
        <v>9.4499999999999993</v>
      </c>
      <c r="AD374" s="75">
        <v>21.37</v>
      </c>
      <c r="AE374" s="75">
        <v>21.65</v>
      </c>
      <c r="AF374" s="105">
        <v>21.57</v>
      </c>
    </row>
    <row r="375" spans="2:32" x14ac:dyDescent="0.3">
      <c r="B375" s="111">
        <v>61.66666666666633</v>
      </c>
      <c r="C375" s="104">
        <v>10.3</v>
      </c>
      <c r="D375" s="75">
        <v>10.44</v>
      </c>
      <c r="E375" s="75">
        <v>10.54</v>
      </c>
      <c r="F375" s="75">
        <v>4.069</v>
      </c>
      <c r="G375" s="75">
        <v>3.286</v>
      </c>
      <c r="H375" s="105">
        <v>2.5070000000000001</v>
      </c>
      <c r="I375" s="104">
        <v>10.16</v>
      </c>
      <c r="J375" s="75">
        <v>10.24</v>
      </c>
      <c r="K375" s="75">
        <v>10.29</v>
      </c>
      <c r="L375" s="75">
        <v>6.6879999999999997</v>
      </c>
      <c r="M375" s="75">
        <v>6.819</v>
      </c>
      <c r="N375" s="105">
        <v>7.0910000000000002</v>
      </c>
      <c r="O375" s="104">
        <v>6.3949999999999996</v>
      </c>
      <c r="P375" s="75">
        <v>6.3449999999999998</v>
      </c>
      <c r="Q375" s="75">
        <v>6.3230000000000004</v>
      </c>
      <c r="R375" s="75">
        <v>-3.1E-2</v>
      </c>
      <c r="S375" s="75">
        <v>0.153</v>
      </c>
      <c r="T375" s="105">
        <v>0.17299999999999999</v>
      </c>
      <c r="U375" s="104">
        <v>6.7930000000000001</v>
      </c>
      <c r="V375" s="75">
        <v>6.7169999999999996</v>
      </c>
      <c r="W375" s="75">
        <v>6.6289999999999996</v>
      </c>
      <c r="X375" s="75">
        <v>-0.246</v>
      </c>
      <c r="Y375" s="75">
        <v>-0.66200000000000003</v>
      </c>
      <c r="Z375" s="105">
        <v>-0.13</v>
      </c>
      <c r="AA375" s="104">
        <v>9.41</v>
      </c>
      <c r="AB375" s="75">
        <v>9.48</v>
      </c>
      <c r="AC375" s="75">
        <v>9.52</v>
      </c>
      <c r="AD375" s="75">
        <v>21.58</v>
      </c>
      <c r="AE375" s="75">
        <v>21.75</v>
      </c>
      <c r="AF375" s="105">
        <v>21.46</v>
      </c>
    </row>
    <row r="376" spans="2:32" x14ac:dyDescent="0.3">
      <c r="B376" s="111">
        <v>61.833333333332995</v>
      </c>
      <c r="C376" s="104">
        <v>10.43</v>
      </c>
      <c r="D376" s="75">
        <v>10.56</v>
      </c>
      <c r="E376" s="75">
        <v>10.66</v>
      </c>
      <c r="F376" s="75">
        <v>3.1360000000000001</v>
      </c>
      <c r="G376" s="75">
        <v>2.5179999999999998</v>
      </c>
      <c r="H376" s="105">
        <v>2.0779999999999998</v>
      </c>
      <c r="I376" s="104">
        <v>10.23</v>
      </c>
      <c r="J376" s="75">
        <v>10.3</v>
      </c>
      <c r="K376" s="75">
        <v>10.35</v>
      </c>
      <c r="L376" s="75">
        <v>6.907</v>
      </c>
      <c r="M376" s="75">
        <v>7.0709999999999997</v>
      </c>
      <c r="N376" s="105">
        <v>7.1260000000000003</v>
      </c>
      <c r="O376" s="104">
        <v>6.34</v>
      </c>
      <c r="P376" s="75">
        <v>6.2919999999999998</v>
      </c>
      <c r="Q376" s="75">
        <v>6.2729999999999997</v>
      </c>
      <c r="R376" s="75">
        <v>-1.2E-2</v>
      </c>
      <c r="S376" s="75">
        <v>0.113</v>
      </c>
      <c r="T376" s="105">
        <v>0.158</v>
      </c>
      <c r="U376" s="104">
        <v>6.7510000000000003</v>
      </c>
      <c r="V376" s="75">
        <v>6.6790000000000003</v>
      </c>
      <c r="W376" s="75">
        <v>6.5940000000000003</v>
      </c>
      <c r="X376" s="75">
        <v>-0.36599999999999999</v>
      </c>
      <c r="Y376" s="75">
        <v>-0.62</v>
      </c>
      <c r="Z376" s="105">
        <v>0.17299999999999999</v>
      </c>
      <c r="AA376" s="104">
        <v>9.49</v>
      </c>
      <c r="AB376" s="75">
        <v>9.56</v>
      </c>
      <c r="AC376" s="75">
        <v>9.6</v>
      </c>
      <c r="AD376" s="75">
        <v>21.61</v>
      </c>
      <c r="AE376" s="75">
        <v>21.7</v>
      </c>
      <c r="AF376" s="105">
        <v>21.51</v>
      </c>
    </row>
    <row r="377" spans="2:32" x14ac:dyDescent="0.3">
      <c r="B377" s="111">
        <v>61.999999999999659</v>
      </c>
      <c r="C377" s="104">
        <v>10.55</v>
      </c>
      <c r="D377" s="75">
        <v>10.66</v>
      </c>
      <c r="E377" s="75">
        <v>10.75</v>
      </c>
      <c r="F377" s="75">
        <v>2.3119999999999998</v>
      </c>
      <c r="G377" s="75">
        <v>2.024</v>
      </c>
      <c r="H377" s="105">
        <v>1.724</v>
      </c>
      <c r="I377" s="104">
        <v>10.29</v>
      </c>
      <c r="J377" s="75">
        <v>10.36</v>
      </c>
      <c r="K377" s="75">
        <v>10.41</v>
      </c>
      <c r="L377" s="75">
        <v>7.1529999999999996</v>
      </c>
      <c r="M377" s="75">
        <v>7.2439999999999998</v>
      </c>
      <c r="N377" s="105">
        <v>7.3319999999999999</v>
      </c>
      <c r="O377" s="104">
        <v>6.3040000000000003</v>
      </c>
      <c r="P377" s="75">
        <v>6.2530000000000001</v>
      </c>
      <c r="Q377" s="75">
        <v>6.2450000000000001</v>
      </c>
      <c r="R377" s="75">
        <v>-0.16600000000000001</v>
      </c>
      <c r="S377" s="75">
        <v>0.29599999999999999</v>
      </c>
      <c r="T377" s="105">
        <v>0.156</v>
      </c>
      <c r="U377" s="104">
        <v>6.7290000000000001</v>
      </c>
      <c r="V377" s="75">
        <v>6.6529999999999996</v>
      </c>
      <c r="W377" s="75">
        <v>6.5759999999999996</v>
      </c>
      <c r="X377" s="75">
        <v>-0.437</v>
      </c>
      <c r="Y377" s="75">
        <v>-0.30299999999999999</v>
      </c>
      <c r="Z377" s="105">
        <v>0.17599999999999999</v>
      </c>
      <c r="AA377" s="104">
        <v>9.56</v>
      </c>
      <c r="AB377" s="75">
        <v>9.6300000000000008</v>
      </c>
      <c r="AC377" s="75">
        <v>9.69</v>
      </c>
      <c r="AD377" s="75">
        <v>21.46</v>
      </c>
      <c r="AE377" s="75">
        <v>21.67</v>
      </c>
      <c r="AF377" s="105">
        <v>21.41</v>
      </c>
    </row>
    <row r="378" spans="2:32" x14ac:dyDescent="0.3">
      <c r="B378" s="111">
        <v>62.166666666666323</v>
      </c>
      <c r="C378" s="104">
        <v>10.65</v>
      </c>
      <c r="D378" s="75">
        <v>10.75</v>
      </c>
      <c r="E378" s="75">
        <v>10.84</v>
      </c>
      <c r="F378" s="75">
        <v>2.081</v>
      </c>
      <c r="G378" s="75">
        <v>1.613</v>
      </c>
      <c r="H378" s="105">
        <v>1.5369999999999999</v>
      </c>
      <c r="I378" s="104">
        <v>10.35</v>
      </c>
      <c r="J378" s="75">
        <v>10.42</v>
      </c>
      <c r="K378" s="75">
        <v>10.47</v>
      </c>
      <c r="L378" s="75">
        <v>7.2560000000000002</v>
      </c>
      <c r="M378" s="75">
        <v>7.4279999999999999</v>
      </c>
      <c r="N378" s="105">
        <v>7.5389999999999997</v>
      </c>
      <c r="O378" s="104">
        <v>6.2830000000000004</v>
      </c>
      <c r="P378" s="75">
        <v>6.2270000000000003</v>
      </c>
      <c r="Q378" s="75">
        <v>6.2119999999999997</v>
      </c>
      <c r="R378" s="75">
        <v>-4.2000000000000003E-2</v>
      </c>
      <c r="S378" s="75">
        <v>0.24199999999999999</v>
      </c>
      <c r="T378" s="105">
        <v>0.106</v>
      </c>
      <c r="U378" s="104">
        <v>6.718</v>
      </c>
      <c r="V378" s="75">
        <v>6.6360000000000001</v>
      </c>
      <c r="W378" s="75">
        <v>6.5540000000000003</v>
      </c>
      <c r="X378" s="75">
        <v>-0.60899999999999999</v>
      </c>
      <c r="Y378" s="75">
        <v>-0.84399999999999997</v>
      </c>
      <c r="Z378" s="105">
        <v>-0.35799999999999998</v>
      </c>
      <c r="AA378" s="104">
        <v>9.65</v>
      </c>
      <c r="AB378" s="75">
        <v>9.7200000000000006</v>
      </c>
      <c r="AC378" s="75">
        <v>9.7799999999999994</v>
      </c>
      <c r="AD378" s="75">
        <v>21.66</v>
      </c>
      <c r="AE378" s="75">
        <v>21.38</v>
      </c>
      <c r="AF378" s="105">
        <v>21.14</v>
      </c>
    </row>
    <row r="379" spans="2:32" x14ac:dyDescent="0.3">
      <c r="B379" s="111">
        <v>62.333333333332988</v>
      </c>
      <c r="C379" s="104">
        <v>10.74</v>
      </c>
      <c r="D379" s="75">
        <v>10.84</v>
      </c>
      <c r="E379" s="75">
        <v>10.93</v>
      </c>
      <c r="F379" s="75">
        <v>1.782</v>
      </c>
      <c r="G379" s="75">
        <v>1.554</v>
      </c>
      <c r="H379" s="105">
        <v>1.3380000000000001</v>
      </c>
      <c r="I379" s="104">
        <v>10.42</v>
      </c>
      <c r="J379" s="75">
        <v>10.48</v>
      </c>
      <c r="K379" s="75">
        <v>10.53</v>
      </c>
      <c r="L379" s="75">
        <v>7.702</v>
      </c>
      <c r="M379" s="75">
        <v>7.633</v>
      </c>
      <c r="N379" s="105">
        <v>7.944</v>
      </c>
      <c r="O379" s="104">
        <v>6.2619999999999996</v>
      </c>
      <c r="P379" s="75">
        <v>6.2080000000000002</v>
      </c>
      <c r="Q379" s="75">
        <v>6.2009999999999996</v>
      </c>
      <c r="R379" s="75">
        <v>-2.4E-2</v>
      </c>
      <c r="S379" s="75">
        <v>0.28299999999999997</v>
      </c>
      <c r="T379" s="105">
        <v>2.9000000000000001E-2</v>
      </c>
      <c r="U379" s="104">
        <v>6.7110000000000003</v>
      </c>
      <c r="V379" s="75">
        <v>6.6289999999999996</v>
      </c>
      <c r="W379" s="75">
        <v>6.5529999999999999</v>
      </c>
      <c r="X379" s="75">
        <v>-0.39900000000000002</v>
      </c>
      <c r="Y379" s="75">
        <v>-0.78200000000000003</v>
      </c>
      <c r="Z379" s="105">
        <v>-7.0000000000000007E-2</v>
      </c>
      <c r="AA379" s="104">
        <v>9.74</v>
      </c>
      <c r="AB379" s="75">
        <v>9.83</v>
      </c>
      <c r="AC379" s="75">
        <v>9.9</v>
      </c>
      <c r="AD379" s="75">
        <v>21.44</v>
      </c>
      <c r="AE379" s="75">
        <v>21.04</v>
      </c>
      <c r="AF379" s="105">
        <v>20.55</v>
      </c>
    </row>
    <row r="380" spans="2:32" x14ac:dyDescent="0.3">
      <c r="B380" s="111">
        <v>62.499999999999652</v>
      </c>
      <c r="C380" s="104">
        <v>10.83</v>
      </c>
      <c r="D380" s="75">
        <v>10.92</v>
      </c>
      <c r="E380" s="75">
        <v>11</v>
      </c>
      <c r="F380" s="75">
        <v>1.4850000000000001</v>
      </c>
      <c r="G380" s="75">
        <v>1.25</v>
      </c>
      <c r="H380" s="105">
        <v>1.1399999999999999</v>
      </c>
      <c r="I380" s="104">
        <v>10.48</v>
      </c>
      <c r="J380" s="75">
        <v>10.54</v>
      </c>
      <c r="K380" s="75">
        <v>10.59</v>
      </c>
      <c r="L380" s="75">
        <v>7.992</v>
      </c>
      <c r="M380" s="75">
        <v>7.9450000000000003</v>
      </c>
      <c r="N380" s="105">
        <v>8.15</v>
      </c>
      <c r="O380" s="104">
        <v>6.24</v>
      </c>
      <c r="P380" s="75">
        <v>6.1870000000000003</v>
      </c>
      <c r="Q380" s="75">
        <v>6.1890000000000001</v>
      </c>
      <c r="R380" s="75">
        <v>-3.3000000000000002E-2</v>
      </c>
      <c r="S380" s="75">
        <v>0.26800000000000002</v>
      </c>
      <c r="T380" s="105">
        <v>2.4E-2</v>
      </c>
      <c r="U380" s="104">
        <v>6.6989999999999998</v>
      </c>
      <c r="V380" s="75">
        <v>6.6189999999999998</v>
      </c>
      <c r="W380" s="75">
        <v>6.5519999999999996</v>
      </c>
      <c r="X380" s="75">
        <v>-0.45800000000000002</v>
      </c>
      <c r="Y380" s="75">
        <v>-0.51400000000000001</v>
      </c>
      <c r="Z380" s="105">
        <v>0.214</v>
      </c>
      <c r="AA380" s="104">
        <v>9.85</v>
      </c>
      <c r="AB380" s="75">
        <v>9.9499999999999993</v>
      </c>
      <c r="AC380" s="75">
        <v>10.029999999999999</v>
      </c>
      <c r="AD380" s="75">
        <v>20.86</v>
      </c>
      <c r="AE380" s="75">
        <v>20.32</v>
      </c>
      <c r="AF380" s="105">
        <v>19.760000000000002</v>
      </c>
    </row>
    <row r="381" spans="2:32" x14ac:dyDescent="0.3">
      <c r="B381" s="111">
        <v>62.666666666666316</v>
      </c>
      <c r="C381" s="104">
        <v>10.91</v>
      </c>
      <c r="D381" s="75">
        <v>10.99</v>
      </c>
      <c r="E381" s="75">
        <v>11.07</v>
      </c>
      <c r="F381" s="75">
        <v>1.353</v>
      </c>
      <c r="G381" s="75">
        <v>1.32</v>
      </c>
      <c r="H381" s="105">
        <v>1.29</v>
      </c>
      <c r="I381" s="104">
        <v>10.54</v>
      </c>
      <c r="J381" s="75">
        <v>10.6</v>
      </c>
      <c r="K381" s="75">
        <v>10.65</v>
      </c>
      <c r="L381" s="75">
        <v>7.97</v>
      </c>
      <c r="M381" s="75">
        <v>8.1</v>
      </c>
      <c r="N381" s="105">
        <v>8.3000000000000007</v>
      </c>
      <c r="O381" s="104">
        <v>6.2290000000000001</v>
      </c>
      <c r="P381" s="75">
        <v>6.1779999999999999</v>
      </c>
      <c r="Q381" s="75">
        <v>6.1820000000000004</v>
      </c>
      <c r="R381" s="75">
        <v>-0.35399999999999998</v>
      </c>
      <c r="S381" s="75">
        <v>0.251</v>
      </c>
      <c r="T381" s="105">
        <v>0.14099999999999999</v>
      </c>
      <c r="U381" s="104">
        <v>6.6950000000000003</v>
      </c>
      <c r="V381" s="75">
        <v>6.6120000000000001</v>
      </c>
      <c r="W381" s="75">
        <v>6.55</v>
      </c>
      <c r="X381" s="75">
        <v>-0.46600000000000003</v>
      </c>
      <c r="Y381" s="75">
        <v>-0.77700000000000002</v>
      </c>
      <c r="Z381" s="105">
        <v>-4.1000000000000002E-2</v>
      </c>
      <c r="AA381" s="104">
        <v>9.9700000000000006</v>
      </c>
      <c r="AB381" s="75">
        <v>10.11</v>
      </c>
      <c r="AC381" s="75">
        <v>10.199999999999999</v>
      </c>
      <c r="AD381" s="75">
        <v>20.190000000000001</v>
      </c>
      <c r="AE381" s="75">
        <v>19.399999999999999</v>
      </c>
      <c r="AF381" s="105">
        <v>18.670000000000002</v>
      </c>
    </row>
    <row r="382" spans="2:32" x14ac:dyDescent="0.3">
      <c r="B382" s="111">
        <v>62.83333333333298</v>
      </c>
      <c r="C382" s="104">
        <v>10.98</v>
      </c>
      <c r="D382" s="75">
        <v>11.07</v>
      </c>
      <c r="E382" s="75">
        <v>11.16</v>
      </c>
      <c r="F382" s="75">
        <v>1.401</v>
      </c>
      <c r="G382" s="75">
        <v>1.2330000000000001</v>
      </c>
      <c r="H382" s="105">
        <v>1.522</v>
      </c>
      <c r="I382" s="104">
        <v>10.6</v>
      </c>
      <c r="J382" s="75">
        <v>10.65</v>
      </c>
      <c r="K382" s="75">
        <v>10.71</v>
      </c>
      <c r="L382" s="75">
        <v>8.24</v>
      </c>
      <c r="M382" s="75">
        <v>8.44</v>
      </c>
      <c r="N382" s="105">
        <v>8.8800000000000008</v>
      </c>
      <c r="O382" s="104">
        <v>6.2210000000000001</v>
      </c>
      <c r="P382" s="75">
        <v>6.1689999999999996</v>
      </c>
      <c r="Q382" s="75">
        <v>6.173</v>
      </c>
      <c r="R382" s="75">
        <v>-4.8000000000000001E-2</v>
      </c>
      <c r="S382" s="75">
        <v>0.27400000000000002</v>
      </c>
      <c r="T382" s="105">
        <v>0.443</v>
      </c>
      <c r="U382" s="104">
        <v>6.6909999999999998</v>
      </c>
      <c r="V382" s="75">
        <v>6.609</v>
      </c>
      <c r="W382" s="75">
        <v>6.5510000000000002</v>
      </c>
      <c r="X382" s="75">
        <v>-0.59199999999999997</v>
      </c>
      <c r="Y382" s="75">
        <v>-0.91400000000000003</v>
      </c>
      <c r="Z382" s="105">
        <v>-0.01</v>
      </c>
      <c r="AA382" s="104">
        <v>10.14</v>
      </c>
      <c r="AB382" s="75">
        <v>10.28</v>
      </c>
      <c r="AC382" s="75">
        <v>10.4</v>
      </c>
      <c r="AD382" s="75">
        <v>19.05</v>
      </c>
      <c r="AE382" s="75">
        <v>17.72</v>
      </c>
      <c r="AF382" s="105">
        <v>17.07</v>
      </c>
    </row>
    <row r="383" spans="2:32" x14ac:dyDescent="0.3">
      <c r="B383" s="111">
        <v>62.999999999999645</v>
      </c>
      <c r="C383" s="104">
        <v>11.06</v>
      </c>
      <c r="D383" s="75">
        <v>11.14</v>
      </c>
      <c r="E383" s="75">
        <v>11.25</v>
      </c>
      <c r="F383" s="75">
        <v>1.44</v>
      </c>
      <c r="G383" s="75">
        <v>1.1739999999999999</v>
      </c>
      <c r="H383" s="105">
        <v>1.605</v>
      </c>
      <c r="I383" s="104">
        <v>10.65</v>
      </c>
      <c r="J383" s="75">
        <v>10.71</v>
      </c>
      <c r="K383" s="75">
        <v>10.78</v>
      </c>
      <c r="L383" s="75">
        <v>8.6</v>
      </c>
      <c r="M383" s="75">
        <v>8.6300000000000008</v>
      </c>
      <c r="N383" s="105">
        <v>9.39</v>
      </c>
      <c r="O383" s="104">
        <v>6.5789999999999997</v>
      </c>
      <c r="P383" s="75">
        <v>6.5789999999999997</v>
      </c>
      <c r="Q383" s="75">
        <v>6.5439999999999996</v>
      </c>
      <c r="R383" s="75">
        <v>-0.251</v>
      </c>
      <c r="S383" s="75">
        <v>0.46600000000000003</v>
      </c>
      <c r="T383" s="105">
        <v>0.42</v>
      </c>
      <c r="U383" s="104">
        <v>6.9790000000000001</v>
      </c>
      <c r="V383" s="75">
        <v>6.9390000000000001</v>
      </c>
      <c r="W383" s="75">
        <v>6.8410000000000002</v>
      </c>
      <c r="X383" s="75">
        <v>0.108</v>
      </c>
      <c r="Y383" s="75">
        <v>-0.48199999999999998</v>
      </c>
      <c r="Z383" s="105">
        <v>0.33600000000000002</v>
      </c>
      <c r="AA383" s="104">
        <v>10.32</v>
      </c>
      <c r="AB383" s="75">
        <v>10.46</v>
      </c>
      <c r="AC383" s="75">
        <v>10.59</v>
      </c>
      <c r="AD383" s="75">
        <v>17.28</v>
      </c>
      <c r="AE383" s="75">
        <v>15.83</v>
      </c>
      <c r="AF383" s="105">
        <v>15.25</v>
      </c>
    </row>
    <row r="384" spans="2:32" x14ac:dyDescent="0.3">
      <c r="B384" s="111">
        <v>63.166666666666309</v>
      </c>
      <c r="C384" s="104">
        <v>11.14</v>
      </c>
      <c r="D384" s="75">
        <v>11.23</v>
      </c>
      <c r="E384" s="75">
        <v>11.34</v>
      </c>
      <c r="F384" s="75">
        <v>1.482</v>
      </c>
      <c r="G384" s="75">
        <v>1.7509999999999999</v>
      </c>
      <c r="H384" s="105">
        <v>1.343</v>
      </c>
      <c r="I384" s="104">
        <v>10.72</v>
      </c>
      <c r="J384" s="75">
        <v>10.78</v>
      </c>
      <c r="K384" s="75">
        <v>10.84</v>
      </c>
      <c r="L384" s="75">
        <v>8.91</v>
      </c>
      <c r="M384" s="75">
        <v>8.83</v>
      </c>
      <c r="N384" s="105">
        <v>9.77</v>
      </c>
      <c r="O384" s="104">
        <v>6.8159999999999998</v>
      </c>
      <c r="P384" s="75">
        <v>6.7910000000000004</v>
      </c>
      <c r="Q384" s="75">
        <v>6.742</v>
      </c>
      <c r="R384" s="75">
        <v>3.3000000000000002E-2</v>
      </c>
      <c r="S384" s="75">
        <v>0.70699999999999996</v>
      </c>
      <c r="T384" s="105">
        <v>0.81399999999999995</v>
      </c>
      <c r="U384" s="104">
        <v>7.2270000000000003</v>
      </c>
      <c r="V384" s="75">
        <v>7.1749999999999998</v>
      </c>
      <c r="W384" s="75">
        <v>7.0570000000000004</v>
      </c>
      <c r="X384" s="75">
        <v>0.41</v>
      </c>
      <c r="Y384" s="75">
        <v>0.42299999999999999</v>
      </c>
      <c r="Z384" s="105">
        <v>0.996</v>
      </c>
      <c r="AA384" s="104">
        <v>10.51</v>
      </c>
      <c r="AB384" s="75">
        <v>10.65</v>
      </c>
      <c r="AC384" s="75">
        <v>10.77</v>
      </c>
      <c r="AD384" s="75">
        <v>15.23</v>
      </c>
      <c r="AE384" s="75">
        <v>14.44</v>
      </c>
      <c r="AF384" s="105">
        <v>13.19</v>
      </c>
    </row>
    <row r="385" spans="2:32" x14ac:dyDescent="0.3">
      <c r="B385" s="111">
        <v>63.333333333332973</v>
      </c>
      <c r="C385" s="104">
        <v>11.23</v>
      </c>
      <c r="D385" s="75">
        <v>11.31</v>
      </c>
      <c r="E385" s="75">
        <v>11.41</v>
      </c>
      <c r="F385" s="75">
        <v>1.69</v>
      </c>
      <c r="G385" s="75">
        <v>1.6819999999999999</v>
      </c>
      <c r="H385" s="105">
        <v>1.367</v>
      </c>
      <c r="I385" s="104">
        <v>10.79</v>
      </c>
      <c r="J385" s="75">
        <v>10.84</v>
      </c>
      <c r="K385" s="75">
        <v>10.9</v>
      </c>
      <c r="L385" s="75">
        <v>9.4600000000000009</v>
      </c>
      <c r="M385" s="75">
        <v>9.8699999999999992</v>
      </c>
      <c r="N385" s="105">
        <v>10.11</v>
      </c>
      <c r="O385" s="104">
        <v>6.8540000000000001</v>
      </c>
      <c r="P385" s="75">
        <v>6.8310000000000004</v>
      </c>
      <c r="Q385" s="75">
        <v>6.7430000000000003</v>
      </c>
      <c r="R385" s="75">
        <v>0.53300000000000003</v>
      </c>
      <c r="S385" s="75">
        <v>1.101</v>
      </c>
      <c r="T385" s="105">
        <v>0.94199999999999995</v>
      </c>
      <c r="U385" s="104">
        <v>7.33</v>
      </c>
      <c r="V385" s="75">
        <v>7.2839999999999998</v>
      </c>
      <c r="W385" s="75">
        <v>7.1280000000000001</v>
      </c>
      <c r="X385" s="75">
        <v>0.48</v>
      </c>
      <c r="Y385" s="75">
        <v>0.77300000000000002</v>
      </c>
      <c r="Z385" s="105">
        <v>1.2949999999999999</v>
      </c>
      <c r="AA385" s="104">
        <v>10.7</v>
      </c>
      <c r="AB385" s="75">
        <v>10.82</v>
      </c>
      <c r="AC385" s="75">
        <v>10.93</v>
      </c>
      <c r="AD385" s="75">
        <v>13.46</v>
      </c>
      <c r="AE385" s="75">
        <v>12.49</v>
      </c>
      <c r="AF385" s="105">
        <v>11.36</v>
      </c>
    </row>
    <row r="386" spans="2:32" x14ac:dyDescent="0.3">
      <c r="B386" s="111">
        <v>63.499999999999638</v>
      </c>
      <c r="C386" s="104">
        <v>11.32</v>
      </c>
      <c r="D386" s="75">
        <v>11.39</v>
      </c>
      <c r="E386" s="75">
        <v>11.49</v>
      </c>
      <c r="F386" s="75">
        <v>1.698</v>
      </c>
      <c r="G386" s="75">
        <v>1.51</v>
      </c>
      <c r="H386" s="105">
        <v>1.34</v>
      </c>
      <c r="I386" s="104">
        <v>10.85</v>
      </c>
      <c r="J386" s="75">
        <v>10.89</v>
      </c>
      <c r="K386" s="75">
        <v>10.95</v>
      </c>
      <c r="L386" s="75">
        <v>9.94</v>
      </c>
      <c r="M386" s="75">
        <v>10.18</v>
      </c>
      <c r="N386" s="105">
        <v>10.43</v>
      </c>
      <c r="O386" s="104">
        <v>6.7990000000000004</v>
      </c>
      <c r="P386" s="75">
        <v>6.7720000000000002</v>
      </c>
      <c r="Q386" s="75">
        <v>6.6920000000000002</v>
      </c>
      <c r="R386" s="75">
        <v>0.85299999999999998</v>
      </c>
      <c r="S386" s="75">
        <v>1.488</v>
      </c>
      <c r="T386" s="105">
        <v>1.353</v>
      </c>
      <c r="U386" s="104">
        <v>7.3170000000000002</v>
      </c>
      <c r="V386" s="75">
        <v>7.2709999999999999</v>
      </c>
      <c r="W386" s="75">
        <v>7.1139999999999999</v>
      </c>
      <c r="X386" s="75">
        <v>1.2889999999999999</v>
      </c>
      <c r="Y386" s="75">
        <v>1.105</v>
      </c>
      <c r="Z386" s="105">
        <v>1.617</v>
      </c>
      <c r="AA386" s="104">
        <v>10.87</v>
      </c>
      <c r="AB386" s="75">
        <v>10.97</v>
      </c>
      <c r="AC386" s="75">
        <v>11.08</v>
      </c>
      <c r="AD386" s="75">
        <v>11.71</v>
      </c>
      <c r="AE386" s="75">
        <v>10.51</v>
      </c>
      <c r="AF386" s="105">
        <v>9.6</v>
      </c>
    </row>
    <row r="387" spans="2:32" x14ac:dyDescent="0.3">
      <c r="B387" s="111">
        <v>63.666666666666302</v>
      </c>
      <c r="C387" s="104">
        <v>11.39</v>
      </c>
      <c r="D387" s="75">
        <v>11.47</v>
      </c>
      <c r="E387" s="75">
        <v>11.57</v>
      </c>
      <c r="F387" s="75">
        <v>1.5640000000000001</v>
      </c>
      <c r="G387" s="75">
        <v>1.4670000000000001</v>
      </c>
      <c r="H387" s="105">
        <v>1.3260000000000001</v>
      </c>
      <c r="I387" s="104">
        <v>10.91</v>
      </c>
      <c r="J387" s="75">
        <v>10.95</v>
      </c>
      <c r="K387" s="75">
        <v>11.01</v>
      </c>
      <c r="L387" s="75">
        <v>10.52</v>
      </c>
      <c r="M387" s="75">
        <v>10.53</v>
      </c>
      <c r="N387" s="105">
        <v>10.82</v>
      </c>
      <c r="O387" s="104">
        <v>6.75</v>
      </c>
      <c r="P387" s="75">
        <v>6.7359999999999998</v>
      </c>
      <c r="Q387" s="75">
        <v>6.6719999999999997</v>
      </c>
      <c r="R387" s="75">
        <v>1.3819999999999999</v>
      </c>
      <c r="S387" s="75">
        <v>1.6180000000000001</v>
      </c>
      <c r="T387" s="105">
        <v>1.5109999999999999</v>
      </c>
      <c r="U387" s="104">
        <v>7.274</v>
      </c>
      <c r="V387" s="75">
        <v>7.234</v>
      </c>
      <c r="W387" s="75">
        <v>7.0919999999999996</v>
      </c>
      <c r="X387" s="75">
        <v>1.651</v>
      </c>
      <c r="Y387" s="75">
        <v>1.8140000000000001</v>
      </c>
      <c r="Z387" s="105">
        <v>2.0129999999999999</v>
      </c>
      <c r="AA387" s="104">
        <v>11.01</v>
      </c>
      <c r="AB387" s="75">
        <v>11.11</v>
      </c>
      <c r="AC387" s="75">
        <v>11.21</v>
      </c>
      <c r="AD387" s="75">
        <v>9.7899999999999991</v>
      </c>
      <c r="AE387" s="75">
        <v>8.6999999999999993</v>
      </c>
      <c r="AF387" s="105">
        <v>7.8730000000000002</v>
      </c>
    </row>
    <row r="388" spans="2:32" x14ac:dyDescent="0.3">
      <c r="B388" s="111">
        <v>63.833333333332966</v>
      </c>
      <c r="C388" s="104">
        <v>11.47</v>
      </c>
      <c r="D388" s="75">
        <v>11.56</v>
      </c>
      <c r="E388" s="75">
        <v>11.64</v>
      </c>
      <c r="F388" s="75">
        <v>1.3069999999999999</v>
      </c>
      <c r="G388" s="75">
        <v>1.504</v>
      </c>
      <c r="H388" s="105">
        <v>1.17</v>
      </c>
      <c r="I388" s="104">
        <v>10.97</v>
      </c>
      <c r="J388" s="75">
        <v>11.02</v>
      </c>
      <c r="K388" s="75">
        <v>11.07</v>
      </c>
      <c r="L388" s="75">
        <v>10.77</v>
      </c>
      <c r="M388" s="75">
        <v>10.78</v>
      </c>
      <c r="N388" s="105">
        <v>11.17</v>
      </c>
      <c r="O388" s="104">
        <v>6.7149999999999999</v>
      </c>
      <c r="P388" s="75">
        <v>6.7140000000000004</v>
      </c>
      <c r="Q388" s="75">
        <v>6.6779999999999999</v>
      </c>
      <c r="R388" s="75">
        <v>1.7649999999999999</v>
      </c>
      <c r="S388" s="75">
        <v>1.9</v>
      </c>
      <c r="T388" s="105">
        <v>1.8839999999999999</v>
      </c>
      <c r="U388" s="104">
        <v>7.226</v>
      </c>
      <c r="V388" s="75">
        <v>7.1989999999999998</v>
      </c>
      <c r="W388" s="75">
        <v>7.0819999999999999</v>
      </c>
      <c r="X388" s="75">
        <v>2.2370000000000001</v>
      </c>
      <c r="Y388" s="75">
        <v>2.504</v>
      </c>
      <c r="Z388" s="105">
        <v>2.4550000000000001</v>
      </c>
      <c r="AA388" s="104">
        <v>11.15</v>
      </c>
      <c r="AB388" s="75">
        <v>11.25</v>
      </c>
      <c r="AC388" s="75">
        <v>11.33</v>
      </c>
      <c r="AD388" s="75">
        <v>7.8380000000000001</v>
      </c>
      <c r="AE388" s="75">
        <v>6.9509999999999996</v>
      </c>
      <c r="AF388" s="105">
        <v>6.0940000000000003</v>
      </c>
    </row>
    <row r="389" spans="2:32" x14ac:dyDescent="0.3">
      <c r="B389" s="111">
        <v>63.999999999999631</v>
      </c>
      <c r="C389" s="104">
        <v>11.54</v>
      </c>
      <c r="D389" s="75">
        <v>11.63</v>
      </c>
      <c r="E389" s="75">
        <v>11.71</v>
      </c>
      <c r="F389" s="75">
        <v>1.3049999999999999</v>
      </c>
      <c r="G389" s="75">
        <v>1.4830000000000001</v>
      </c>
      <c r="H389" s="105">
        <v>1.224</v>
      </c>
      <c r="I389" s="104">
        <v>11.03</v>
      </c>
      <c r="J389" s="75">
        <v>11.07</v>
      </c>
      <c r="K389" s="75">
        <v>11.12</v>
      </c>
      <c r="L389" s="75">
        <v>10.98</v>
      </c>
      <c r="M389" s="75">
        <v>11.35</v>
      </c>
      <c r="N389" s="105">
        <v>11.41</v>
      </c>
      <c r="O389" s="104">
        <v>6.7329999999999997</v>
      </c>
      <c r="P389" s="75">
        <v>6.7249999999999996</v>
      </c>
      <c r="Q389" s="75">
        <v>6.6929999999999996</v>
      </c>
      <c r="R389" s="75">
        <v>2.3650000000000002</v>
      </c>
      <c r="S389" s="75">
        <v>2.2770000000000001</v>
      </c>
      <c r="T389" s="105">
        <v>2.0640000000000001</v>
      </c>
      <c r="U389" s="104">
        <v>7.2229999999999999</v>
      </c>
      <c r="V389" s="75">
        <v>7.19</v>
      </c>
      <c r="W389" s="75">
        <v>7.0860000000000003</v>
      </c>
      <c r="X389" s="75">
        <v>3.3839999999999999</v>
      </c>
      <c r="Y389" s="75">
        <v>3.2330000000000001</v>
      </c>
      <c r="Z389" s="105">
        <v>2.8119999999999998</v>
      </c>
      <c r="AA389" s="104">
        <v>11.27</v>
      </c>
      <c r="AB389" s="75">
        <v>11.36</v>
      </c>
      <c r="AC389" s="75">
        <v>11.44</v>
      </c>
      <c r="AD389" s="75">
        <v>6.1070000000000002</v>
      </c>
      <c r="AE389" s="75">
        <v>5.5250000000000004</v>
      </c>
      <c r="AF389" s="105">
        <v>4.9669999999999996</v>
      </c>
    </row>
    <row r="390" spans="2:32" x14ac:dyDescent="0.3">
      <c r="B390" s="111">
        <v>64.166666666666302</v>
      </c>
      <c r="C390" s="104">
        <v>11.62</v>
      </c>
      <c r="D390" s="75">
        <v>11.69</v>
      </c>
      <c r="E390" s="75">
        <v>11.78</v>
      </c>
      <c r="F390" s="75">
        <v>1.3779999999999999</v>
      </c>
      <c r="G390" s="75">
        <v>1.383</v>
      </c>
      <c r="H390" s="105">
        <v>1.25</v>
      </c>
      <c r="I390" s="104">
        <v>11.08</v>
      </c>
      <c r="J390" s="75">
        <v>11.11</v>
      </c>
      <c r="K390" s="75">
        <v>11.17</v>
      </c>
      <c r="L390" s="75">
        <v>11.22</v>
      </c>
      <c r="M390" s="75">
        <v>11.72</v>
      </c>
      <c r="N390" s="105">
        <v>11.77</v>
      </c>
      <c r="O390" s="104">
        <v>6.7460000000000004</v>
      </c>
      <c r="P390" s="75">
        <v>6.73</v>
      </c>
      <c r="Q390" s="75">
        <v>6.72</v>
      </c>
      <c r="R390" s="75">
        <v>2.2829999999999999</v>
      </c>
      <c r="S390" s="75">
        <v>2.3170000000000002</v>
      </c>
      <c r="T390" s="105">
        <v>2.2959999999999998</v>
      </c>
      <c r="U390" s="104">
        <v>7.2240000000000002</v>
      </c>
      <c r="V390" s="75">
        <v>7.1849999999999996</v>
      </c>
      <c r="W390" s="75">
        <v>7.1050000000000004</v>
      </c>
      <c r="X390" s="75">
        <v>3.6030000000000002</v>
      </c>
      <c r="Y390" s="75">
        <v>3.2639999999999998</v>
      </c>
      <c r="Z390" s="105">
        <v>3.4769999999999999</v>
      </c>
      <c r="AA390" s="104">
        <v>11.37</v>
      </c>
      <c r="AB390" s="75">
        <v>11.46</v>
      </c>
      <c r="AC390" s="75">
        <v>11.53</v>
      </c>
      <c r="AD390" s="75">
        <v>4.9729999999999999</v>
      </c>
      <c r="AE390" s="75">
        <v>4.5659999999999998</v>
      </c>
      <c r="AF390" s="105">
        <v>4.298</v>
      </c>
    </row>
    <row r="391" spans="2:32" x14ac:dyDescent="0.3">
      <c r="B391" s="111">
        <v>64.333333333332973</v>
      </c>
      <c r="C391" s="104">
        <v>11.69</v>
      </c>
      <c r="D391" s="75">
        <v>11.77</v>
      </c>
      <c r="E391" s="75">
        <v>11.86</v>
      </c>
      <c r="F391" s="75">
        <v>1.446</v>
      </c>
      <c r="G391" s="75">
        <v>1.3620000000000001</v>
      </c>
      <c r="H391" s="105">
        <v>1.177</v>
      </c>
      <c r="I391" s="104">
        <v>11.14</v>
      </c>
      <c r="J391" s="75">
        <v>11.17</v>
      </c>
      <c r="K391" s="75">
        <v>11.22</v>
      </c>
      <c r="L391" s="75">
        <v>11.65</v>
      </c>
      <c r="M391" s="75">
        <v>11.93</v>
      </c>
      <c r="N391" s="105">
        <v>12.14</v>
      </c>
      <c r="O391" s="104">
        <v>6.7720000000000002</v>
      </c>
      <c r="P391" s="75">
        <v>6.7629999999999999</v>
      </c>
      <c r="Q391" s="75">
        <v>6.7539999999999996</v>
      </c>
      <c r="R391" s="75">
        <v>2.3279999999999998</v>
      </c>
      <c r="S391" s="75">
        <v>2.286</v>
      </c>
      <c r="T391" s="105">
        <v>2.4849999999999999</v>
      </c>
      <c r="U391" s="104">
        <v>7.2439999999999998</v>
      </c>
      <c r="V391" s="75">
        <v>7.2089999999999996</v>
      </c>
      <c r="W391" s="75">
        <v>7.133</v>
      </c>
      <c r="X391" s="75">
        <v>4.4189999999999996</v>
      </c>
      <c r="Y391" s="75">
        <v>4.165</v>
      </c>
      <c r="Z391" s="105">
        <v>3.629</v>
      </c>
      <c r="AA391" s="104">
        <v>11.47</v>
      </c>
      <c r="AB391" s="75">
        <v>11.55</v>
      </c>
      <c r="AC391" s="75">
        <v>11.62</v>
      </c>
      <c r="AD391" s="75">
        <v>4.2690000000000001</v>
      </c>
      <c r="AE391" s="75">
        <v>3.9569999999999999</v>
      </c>
      <c r="AF391" s="105">
        <v>3.7890000000000001</v>
      </c>
    </row>
    <row r="392" spans="2:32" x14ac:dyDescent="0.3">
      <c r="B392" s="111">
        <v>64.499999999999645</v>
      </c>
      <c r="C392" s="104">
        <v>11.75</v>
      </c>
      <c r="D392" s="75">
        <v>11.84</v>
      </c>
      <c r="E392" s="75">
        <v>11.93</v>
      </c>
      <c r="F392" s="75">
        <v>1.1970000000000001</v>
      </c>
      <c r="G392" s="75">
        <v>1.1830000000000001</v>
      </c>
      <c r="H392" s="105">
        <v>1.202</v>
      </c>
      <c r="I392" s="104">
        <v>11.18</v>
      </c>
      <c r="J392" s="75">
        <v>11.22</v>
      </c>
      <c r="K392" s="75">
        <v>11.28</v>
      </c>
      <c r="L392" s="75">
        <v>12.08</v>
      </c>
      <c r="M392" s="75">
        <v>12.37</v>
      </c>
      <c r="N392" s="105">
        <v>12.38</v>
      </c>
      <c r="O392" s="104">
        <v>6.8049999999999997</v>
      </c>
      <c r="P392" s="75">
        <v>6.8109999999999999</v>
      </c>
      <c r="Q392" s="75">
        <v>6.8070000000000004</v>
      </c>
      <c r="R392" s="75">
        <v>2.548</v>
      </c>
      <c r="S392" s="75">
        <v>2.4460000000000002</v>
      </c>
      <c r="T392" s="105">
        <v>2.3839999999999999</v>
      </c>
      <c r="U392" s="104">
        <v>7.2750000000000004</v>
      </c>
      <c r="V392" s="75">
        <v>7.2519999999999998</v>
      </c>
      <c r="W392" s="75">
        <v>7.1820000000000004</v>
      </c>
      <c r="X392" s="75">
        <v>4.7210000000000001</v>
      </c>
      <c r="Y392" s="75">
        <v>4.7469999999999999</v>
      </c>
      <c r="Z392" s="105">
        <v>4.2350000000000003</v>
      </c>
      <c r="AA392" s="104">
        <v>11.55</v>
      </c>
      <c r="AB392" s="75">
        <v>11.63</v>
      </c>
      <c r="AC392" s="75">
        <v>11.7</v>
      </c>
      <c r="AD392" s="75">
        <v>3.5859999999999999</v>
      </c>
      <c r="AE392" s="75">
        <v>3.452</v>
      </c>
      <c r="AF392" s="105">
        <v>3.5550000000000002</v>
      </c>
    </row>
    <row r="393" spans="2:32" x14ac:dyDescent="0.3">
      <c r="B393" s="111">
        <v>64.666666666666316</v>
      </c>
      <c r="C393" s="104">
        <v>11.82</v>
      </c>
      <c r="D393" s="75">
        <v>11.92</v>
      </c>
      <c r="E393" s="75">
        <v>12</v>
      </c>
      <c r="F393" s="75">
        <v>1.2989999999999999</v>
      </c>
      <c r="G393" s="75">
        <v>1.472</v>
      </c>
      <c r="H393" s="105">
        <v>1.268</v>
      </c>
      <c r="I393" s="104">
        <v>11.23</v>
      </c>
      <c r="J393" s="75">
        <v>11.28</v>
      </c>
      <c r="K393" s="75">
        <v>11.33</v>
      </c>
      <c r="L393" s="75">
        <v>12.07</v>
      </c>
      <c r="M393" s="75">
        <v>12.52</v>
      </c>
      <c r="N393" s="105">
        <v>12.82</v>
      </c>
      <c r="O393" s="104">
        <v>6.8620000000000001</v>
      </c>
      <c r="P393" s="75">
        <v>6.8639999999999999</v>
      </c>
      <c r="Q393" s="75">
        <v>6.87</v>
      </c>
      <c r="R393" s="75">
        <v>2.6509999999999998</v>
      </c>
      <c r="S393" s="75">
        <v>2.5430000000000001</v>
      </c>
      <c r="T393" s="105">
        <v>2.3010000000000002</v>
      </c>
      <c r="U393" s="104">
        <v>7.3250000000000002</v>
      </c>
      <c r="V393" s="75">
        <v>7.3070000000000004</v>
      </c>
      <c r="W393" s="75">
        <v>7.242</v>
      </c>
      <c r="X393" s="75">
        <v>4.931</v>
      </c>
      <c r="Y393" s="75">
        <v>5.0419999999999998</v>
      </c>
      <c r="Z393" s="105">
        <v>4.5209999999999999</v>
      </c>
      <c r="AA393" s="104">
        <v>11.62</v>
      </c>
      <c r="AB393" s="75">
        <v>11.72</v>
      </c>
      <c r="AC393" s="75">
        <v>11.79</v>
      </c>
      <c r="AD393" s="75">
        <v>3.37</v>
      </c>
      <c r="AE393" s="75">
        <v>3.56</v>
      </c>
      <c r="AF393" s="105">
        <v>3.444</v>
      </c>
    </row>
    <row r="394" spans="2:32" x14ac:dyDescent="0.3">
      <c r="B394" s="111">
        <v>64.833333333332988</v>
      </c>
      <c r="C394" s="104">
        <v>11.9</v>
      </c>
      <c r="D394" s="75">
        <v>11.99</v>
      </c>
      <c r="E394" s="75">
        <v>12.08</v>
      </c>
      <c r="F394" s="75">
        <v>1.3680000000000001</v>
      </c>
      <c r="G394" s="75">
        <v>1.383</v>
      </c>
      <c r="H394" s="105">
        <v>1.4319999999999999</v>
      </c>
      <c r="I394" s="104">
        <v>11.29</v>
      </c>
      <c r="J394" s="75">
        <v>11.33</v>
      </c>
      <c r="K394" s="75">
        <v>11.38</v>
      </c>
      <c r="L394" s="75">
        <v>12.6</v>
      </c>
      <c r="M394" s="75">
        <v>13.18</v>
      </c>
      <c r="N394" s="105">
        <v>13.33</v>
      </c>
      <c r="O394" s="104">
        <v>6.9189999999999996</v>
      </c>
      <c r="P394" s="75">
        <v>6.9269999999999996</v>
      </c>
      <c r="Q394" s="75">
        <v>6.9260000000000002</v>
      </c>
      <c r="R394" s="75">
        <v>2.5880000000000001</v>
      </c>
      <c r="S394" s="75">
        <v>2.6739999999999999</v>
      </c>
      <c r="T394" s="105">
        <v>2.6429999999999998</v>
      </c>
      <c r="U394" s="104">
        <v>7.3780000000000001</v>
      </c>
      <c r="V394" s="75">
        <v>7.3689999999999998</v>
      </c>
      <c r="W394" s="75">
        <v>7.3019999999999996</v>
      </c>
      <c r="X394" s="75">
        <v>5.3029999999999999</v>
      </c>
      <c r="Y394" s="75">
        <v>5.2220000000000004</v>
      </c>
      <c r="Z394" s="105">
        <v>4.694</v>
      </c>
      <c r="AA394" s="104">
        <v>11.71</v>
      </c>
      <c r="AB394" s="75">
        <v>11.8</v>
      </c>
      <c r="AC394" s="75">
        <v>11.87</v>
      </c>
      <c r="AD394" s="75">
        <v>3.302</v>
      </c>
      <c r="AE394" s="75">
        <v>3.327</v>
      </c>
      <c r="AF394" s="105">
        <v>3.4820000000000002</v>
      </c>
    </row>
    <row r="395" spans="2:32" x14ac:dyDescent="0.3">
      <c r="B395" s="111">
        <v>64.999999999999659</v>
      </c>
      <c r="C395" s="104">
        <v>11.97</v>
      </c>
      <c r="D395" s="75">
        <v>12.05</v>
      </c>
      <c r="E395" s="75">
        <v>12.14</v>
      </c>
      <c r="F395" s="75">
        <v>1.5</v>
      </c>
      <c r="G395" s="75">
        <v>1.2809999999999999</v>
      </c>
      <c r="H395" s="105">
        <v>1.262</v>
      </c>
      <c r="I395" s="104">
        <v>11.34</v>
      </c>
      <c r="J395" s="75">
        <v>11.38</v>
      </c>
      <c r="K395" s="75">
        <v>11.42</v>
      </c>
      <c r="L395" s="75">
        <v>13.02</v>
      </c>
      <c r="M395" s="75">
        <v>13.4</v>
      </c>
      <c r="N395" s="105">
        <v>13.91</v>
      </c>
      <c r="O395" s="104">
        <v>6.9820000000000002</v>
      </c>
      <c r="P395" s="75">
        <v>6.99</v>
      </c>
      <c r="Q395" s="75">
        <v>6.9880000000000004</v>
      </c>
      <c r="R395" s="75">
        <v>2.226</v>
      </c>
      <c r="S395" s="75">
        <v>2.0680000000000001</v>
      </c>
      <c r="T395" s="105">
        <v>2.0150000000000001</v>
      </c>
      <c r="U395" s="104">
        <v>7.4409999999999998</v>
      </c>
      <c r="V395" s="75">
        <v>7.4349999999999996</v>
      </c>
      <c r="W395" s="75">
        <v>7.3639999999999999</v>
      </c>
      <c r="X395" s="75">
        <v>5.71</v>
      </c>
      <c r="Y395" s="75">
        <v>5.4379999999999997</v>
      </c>
      <c r="Z395" s="105">
        <v>4.51</v>
      </c>
      <c r="AA395" s="104">
        <v>11.79</v>
      </c>
      <c r="AB395" s="75">
        <v>11.87</v>
      </c>
      <c r="AC395" s="75">
        <v>11.93</v>
      </c>
      <c r="AD395" s="75">
        <v>3.3410000000000002</v>
      </c>
      <c r="AE395" s="75">
        <v>3.1589999999999998</v>
      </c>
      <c r="AF395" s="105">
        <v>3.2360000000000002</v>
      </c>
    </row>
    <row r="396" spans="2:32" x14ac:dyDescent="0.3">
      <c r="B396" s="111">
        <v>65.16666666666633</v>
      </c>
      <c r="C396" s="104">
        <v>12.04</v>
      </c>
      <c r="D396" s="75">
        <v>12.12</v>
      </c>
      <c r="E396" s="75">
        <v>12.2</v>
      </c>
      <c r="F396" s="75">
        <v>1.4279999999999999</v>
      </c>
      <c r="G396" s="75">
        <v>1.2130000000000001</v>
      </c>
      <c r="H396" s="105">
        <v>1.175</v>
      </c>
      <c r="I396" s="104">
        <v>11.39</v>
      </c>
      <c r="J396" s="75">
        <v>11.43</v>
      </c>
      <c r="K396" s="75">
        <v>11.47</v>
      </c>
      <c r="L396" s="75">
        <v>13.55</v>
      </c>
      <c r="M396" s="75">
        <v>13.82</v>
      </c>
      <c r="N396" s="105">
        <v>14.15</v>
      </c>
      <c r="O396" s="104">
        <v>7.0449999999999999</v>
      </c>
      <c r="P396" s="75">
        <v>7.0490000000000004</v>
      </c>
      <c r="Q396" s="75">
        <v>7.05</v>
      </c>
      <c r="R396" s="75">
        <v>2.1840000000000002</v>
      </c>
      <c r="S396" s="75">
        <v>2.2109999999999999</v>
      </c>
      <c r="T396" s="105">
        <v>2.1269999999999998</v>
      </c>
      <c r="U396" s="104">
        <v>7.508</v>
      </c>
      <c r="V396" s="75">
        <v>7.4950000000000001</v>
      </c>
      <c r="W396" s="75">
        <v>7.4269999999999996</v>
      </c>
      <c r="X396" s="75">
        <v>5.5730000000000004</v>
      </c>
      <c r="Y396" s="75">
        <v>5.4210000000000003</v>
      </c>
      <c r="Z396" s="105">
        <v>4.6020000000000003</v>
      </c>
      <c r="AA396" s="104">
        <v>11.86</v>
      </c>
      <c r="AB396" s="75">
        <v>11.93</v>
      </c>
      <c r="AC396" s="75">
        <v>12</v>
      </c>
      <c r="AD396" s="75">
        <v>3.218</v>
      </c>
      <c r="AE396" s="75">
        <v>3</v>
      </c>
      <c r="AF396" s="105">
        <v>3.125</v>
      </c>
    </row>
    <row r="397" spans="2:32" x14ac:dyDescent="0.3">
      <c r="B397" s="111">
        <v>65.333333333333002</v>
      </c>
      <c r="C397" s="104">
        <v>12.11</v>
      </c>
      <c r="D397" s="75">
        <v>12.19</v>
      </c>
      <c r="E397" s="75">
        <v>12.28</v>
      </c>
      <c r="F397" s="75">
        <v>1.3049999999999999</v>
      </c>
      <c r="G397" s="75">
        <v>1.3140000000000001</v>
      </c>
      <c r="H397" s="105">
        <v>1.5960000000000001</v>
      </c>
      <c r="I397" s="104">
        <v>11.44</v>
      </c>
      <c r="J397" s="75">
        <v>11.48</v>
      </c>
      <c r="K397" s="75">
        <v>11.53</v>
      </c>
      <c r="L397" s="75">
        <v>13.93</v>
      </c>
      <c r="M397" s="75">
        <v>14.18</v>
      </c>
      <c r="N397" s="105">
        <v>14.32</v>
      </c>
      <c r="O397" s="104">
        <v>7.11</v>
      </c>
      <c r="P397" s="75">
        <v>7.1180000000000003</v>
      </c>
      <c r="Q397" s="75">
        <v>7.117</v>
      </c>
      <c r="R397" s="75">
        <v>2.2829999999999999</v>
      </c>
      <c r="S397" s="75">
        <v>2.3170000000000002</v>
      </c>
      <c r="T397" s="105">
        <v>2.2959999999999998</v>
      </c>
      <c r="U397" s="104">
        <v>7.5709999999999997</v>
      </c>
      <c r="V397" s="75">
        <v>7.5629999999999997</v>
      </c>
      <c r="W397" s="75">
        <v>7.4930000000000003</v>
      </c>
      <c r="X397" s="75">
        <v>5.617</v>
      </c>
      <c r="Y397" s="75">
        <v>5.4160000000000004</v>
      </c>
      <c r="Z397" s="105">
        <v>4.7050000000000001</v>
      </c>
      <c r="AA397" s="104">
        <v>11.93</v>
      </c>
      <c r="AB397" s="75">
        <v>12.01</v>
      </c>
      <c r="AC397" s="75">
        <v>12.08</v>
      </c>
      <c r="AD397" s="75">
        <v>3.016</v>
      </c>
      <c r="AE397" s="75">
        <v>3.06</v>
      </c>
      <c r="AF397" s="105">
        <v>3.4689999999999999</v>
      </c>
    </row>
    <row r="398" spans="2:32" x14ac:dyDescent="0.3">
      <c r="B398" s="111">
        <v>65.499999999999673</v>
      </c>
      <c r="C398" s="104">
        <v>12.17</v>
      </c>
      <c r="D398" s="75">
        <v>12.27</v>
      </c>
      <c r="E398" s="75">
        <v>12.36</v>
      </c>
      <c r="F398" s="75">
        <v>1.327</v>
      </c>
      <c r="G398" s="75">
        <v>1.794</v>
      </c>
      <c r="H398" s="105">
        <v>1.49</v>
      </c>
      <c r="I398" s="104">
        <v>11.48</v>
      </c>
      <c r="J398" s="75">
        <v>11.53</v>
      </c>
      <c r="K398" s="75">
        <v>11.58</v>
      </c>
      <c r="L398" s="75">
        <v>14.3</v>
      </c>
      <c r="M398" s="75">
        <v>14.52</v>
      </c>
      <c r="N398" s="105">
        <v>15.13</v>
      </c>
      <c r="O398" s="104">
        <v>7.1769999999999996</v>
      </c>
      <c r="P398" s="75">
        <v>7.181</v>
      </c>
      <c r="Q398" s="75">
        <v>7.1849999999999996</v>
      </c>
      <c r="R398" s="75">
        <v>2.3279999999999998</v>
      </c>
      <c r="S398" s="75">
        <v>2.286</v>
      </c>
      <c r="T398" s="105">
        <v>2.4849999999999999</v>
      </c>
      <c r="U398" s="104">
        <v>7.6379999999999999</v>
      </c>
      <c r="V398" s="75">
        <v>7.6289999999999996</v>
      </c>
      <c r="W398" s="75">
        <v>7.56</v>
      </c>
      <c r="X398" s="75">
        <v>5.51</v>
      </c>
      <c r="Y398" s="75">
        <v>5.3369999999999997</v>
      </c>
      <c r="Z398" s="105">
        <v>4.9379999999999997</v>
      </c>
      <c r="AA398" s="104">
        <v>12</v>
      </c>
      <c r="AB398" s="75">
        <v>12.09</v>
      </c>
      <c r="AC398" s="75">
        <v>12.17</v>
      </c>
      <c r="AD398" s="75">
        <v>2.9950000000000001</v>
      </c>
      <c r="AE398" s="75">
        <v>3.508</v>
      </c>
      <c r="AF398" s="105">
        <v>3.3660000000000001</v>
      </c>
    </row>
    <row r="399" spans="2:32" x14ac:dyDescent="0.3">
      <c r="B399" s="111">
        <v>65.666666666666345</v>
      </c>
      <c r="C399" s="104">
        <v>12.26</v>
      </c>
      <c r="D399" s="75">
        <v>12.35</v>
      </c>
      <c r="E399" s="75">
        <v>12.45</v>
      </c>
      <c r="F399" s="75">
        <v>1.9</v>
      </c>
      <c r="G399" s="75">
        <v>1.796</v>
      </c>
      <c r="H399" s="105">
        <v>1.5640000000000001</v>
      </c>
      <c r="I399" s="104">
        <v>11.55</v>
      </c>
      <c r="J399" s="75">
        <v>11.59</v>
      </c>
      <c r="K399" s="75">
        <v>11.64</v>
      </c>
      <c r="L399" s="75">
        <v>14.68</v>
      </c>
      <c r="M399" s="75">
        <v>15.55</v>
      </c>
      <c r="N399" s="105">
        <v>15.71</v>
      </c>
      <c r="O399" s="104">
        <v>7.242</v>
      </c>
      <c r="P399" s="75">
        <v>7.2549999999999999</v>
      </c>
      <c r="Q399" s="75">
        <v>7.2519999999999998</v>
      </c>
      <c r="R399" s="75">
        <v>2.548</v>
      </c>
      <c r="S399" s="75">
        <v>2.4460000000000002</v>
      </c>
      <c r="T399" s="105">
        <v>2.3839999999999999</v>
      </c>
      <c r="U399" s="104">
        <v>7.7030000000000003</v>
      </c>
      <c r="V399" s="75">
        <v>7.7</v>
      </c>
      <c r="W399" s="75">
        <v>7.6310000000000002</v>
      </c>
      <c r="X399" s="75">
        <v>5.7160000000000002</v>
      </c>
      <c r="Y399" s="75">
        <v>5.5410000000000004</v>
      </c>
      <c r="Z399" s="105">
        <v>4.8079999999999998</v>
      </c>
      <c r="AA399" s="104">
        <v>12.09</v>
      </c>
      <c r="AB399" s="75">
        <v>12.18</v>
      </c>
      <c r="AC399" s="75">
        <v>12.26</v>
      </c>
      <c r="AD399" s="75">
        <v>3.548</v>
      </c>
      <c r="AE399" s="75">
        <v>3.5</v>
      </c>
      <c r="AF399" s="105">
        <v>3.403</v>
      </c>
    </row>
    <row r="400" spans="2:32" x14ac:dyDescent="0.3">
      <c r="B400" s="111">
        <v>65.833333333333016</v>
      </c>
      <c r="C400" s="104">
        <v>12.35</v>
      </c>
      <c r="D400" s="75">
        <v>12.44</v>
      </c>
      <c r="E400" s="75">
        <v>12.52</v>
      </c>
      <c r="F400" s="75">
        <v>1.9830000000000001</v>
      </c>
      <c r="G400" s="75">
        <v>1.5840000000000001</v>
      </c>
      <c r="H400" s="105">
        <v>1.4259999999999999</v>
      </c>
      <c r="I400" s="104">
        <v>11.6</v>
      </c>
      <c r="J400" s="75">
        <v>11.64</v>
      </c>
      <c r="K400" s="75">
        <v>11.69</v>
      </c>
      <c r="L400" s="75">
        <v>15.8</v>
      </c>
      <c r="M400" s="75">
        <v>16.010000000000002</v>
      </c>
      <c r="N400" s="105">
        <v>16.440000000000001</v>
      </c>
      <c r="O400" s="104">
        <v>7.3170000000000002</v>
      </c>
      <c r="P400" s="75">
        <v>7.33</v>
      </c>
      <c r="Q400" s="75">
        <v>7.3140000000000001</v>
      </c>
      <c r="R400" s="75">
        <v>2.6509999999999998</v>
      </c>
      <c r="S400" s="75">
        <v>2.5430000000000001</v>
      </c>
      <c r="T400" s="105">
        <v>2.3010000000000002</v>
      </c>
      <c r="U400" s="104">
        <v>7.7759999999999998</v>
      </c>
      <c r="V400" s="75">
        <v>7.7729999999999997</v>
      </c>
      <c r="W400" s="75">
        <v>7.6929999999999996</v>
      </c>
      <c r="X400" s="75">
        <v>5.83</v>
      </c>
      <c r="Y400" s="75">
        <v>5.5679999999999996</v>
      </c>
      <c r="Z400" s="105">
        <v>4.6130000000000004</v>
      </c>
      <c r="AA400" s="104">
        <v>12.18</v>
      </c>
      <c r="AB400" s="75">
        <v>12.26</v>
      </c>
      <c r="AC400" s="75">
        <v>12.33</v>
      </c>
      <c r="AD400" s="75">
        <v>3.6</v>
      </c>
      <c r="AE400" s="75">
        <v>3.2290000000000001</v>
      </c>
      <c r="AF400" s="105">
        <v>3.246</v>
      </c>
    </row>
    <row r="401" spans="2:32" x14ac:dyDescent="0.3">
      <c r="B401" s="111">
        <v>65.999999999999687</v>
      </c>
      <c r="C401" s="104">
        <v>12.43</v>
      </c>
      <c r="D401" s="75">
        <v>12.51</v>
      </c>
      <c r="E401" s="75">
        <v>12.59</v>
      </c>
      <c r="F401" s="75">
        <v>1.752</v>
      </c>
      <c r="G401" s="75">
        <v>1.464</v>
      </c>
      <c r="H401" s="105">
        <v>1.369</v>
      </c>
      <c r="I401" s="104">
        <v>11.65</v>
      </c>
      <c r="J401" s="75">
        <v>11.69</v>
      </c>
      <c r="K401" s="75">
        <v>11.73</v>
      </c>
      <c r="L401" s="75">
        <v>16.43</v>
      </c>
      <c r="M401" s="75">
        <v>16.43</v>
      </c>
      <c r="N401" s="105">
        <v>16.68</v>
      </c>
      <c r="O401" s="104">
        <v>7.3819999999999997</v>
      </c>
      <c r="P401" s="75">
        <v>7.4</v>
      </c>
      <c r="Q401" s="75">
        <v>7.3879999999999999</v>
      </c>
      <c r="R401" s="75">
        <v>2.5880000000000001</v>
      </c>
      <c r="S401" s="75">
        <v>2.6739999999999999</v>
      </c>
      <c r="T401" s="105">
        <v>2.6429999999999998</v>
      </c>
      <c r="U401" s="104">
        <v>7.8419999999999996</v>
      </c>
      <c r="V401" s="75">
        <v>7.8419999999999996</v>
      </c>
      <c r="W401" s="75">
        <v>7.7640000000000002</v>
      </c>
      <c r="X401" s="75">
        <v>5.6909999999999998</v>
      </c>
      <c r="Y401" s="75">
        <v>5.5540000000000003</v>
      </c>
      <c r="Z401" s="105">
        <v>4.9260000000000002</v>
      </c>
      <c r="AA401" s="104">
        <v>12.26</v>
      </c>
      <c r="AB401" s="75">
        <v>12.34</v>
      </c>
      <c r="AC401" s="75">
        <v>12.4</v>
      </c>
      <c r="AD401" s="75">
        <v>3.3149999999999999</v>
      </c>
      <c r="AE401" s="75">
        <v>3.101</v>
      </c>
      <c r="AF401" s="105">
        <v>3.1320000000000001</v>
      </c>
    </row>
    <row r="402" spans="2:32" x14ac:dyDescent="0.3">
      <c r="B402" s="111">
        <v>66.166666666666359</v>
      </c>
      <c r="C402" s="104">
        <v>12.51</v>
      </c>
      <c r="D402" s="75">
        <v>12.59</v>
      </c>
      <c r="E402" s="75">
        <v>12.65</v>
      </c>
      <c r="F402" s="75">
        <v>1.474</v>
      </c>
      <c r="G402" s="75">
        <v>1.619</v>
      </c>
      <c r="H402" s="105">
        <v>1.3069999999999999</v>
      </c>
      <c r="I402" s="104">
        <v>11.7</v>
      </c>
      <c r="J402" s="75">
        <v>11.75</v>
      </c>
      <c r="K402" s="75">
        <v>11.78</v>
      </c>
      <c r="L402" s="75">
        <v>16.84</v>
      </c>
      <c r="M402" s="75">
        <v>16.82</v>
      </c>
      <c r="N402" s="105">
        <v>17.07</v>
      </c>
      <c r="O402" s="104">
        <v>7.4509999999999996</v>
      </c>
      <c r="P402" s="75">
        <v>7.4610000000000003</v>
      </c>
      <c r="Q402" s="75">
        <v>7.4480000000000004</v>
      </c>
      <c r="R402" s="75">
        <v>2.5430000000000001</v>
      </c>
      <c r="S402" s="75">
        <v>2.3260000000000001</v>
      </c>
      <c r="T402" s="105">
        <v>2.3959999999999999</v>
      </c>
      <c r="U402" s="104">
        <v>7.9119999999999999</v>
      </c>
      <c r="V402" s="75">
        <v>7.9050000000000002</v>
      </c>
      <c r="W402" s="75">
        <v>7.8259999999999996</v>
      </c>
      <c r="X402" s="75">
        <v>5.5510000000000002</v>
      </c>
      <c r="Y402" s="75">
        <v>5.1929999999999996</v>
      </c>
      <c r="Z402" s="105">
        <v>4.6589999999999998</v>
      </c>
      <c r="AA402" s="104">
        <v>12.34</v>
      </c>
      <c r="AB402" s="75">
        <v>12.42</v>
      </c>
      <c r="AC402" s="75">
        <v>12.47</v>
      </c>
      <c r="AD402" s="75">
        <v>3.044</v>
      </c>
      <c r="AE402" s="75">
        <v>3.2360000000000002</v>
      </c>
      <c r="AF402" s="105">
        <v>3.0289999999999999</v>
      </c>
    </row>
    <row r="403" spans="2:32" x14ac:dyDescent="0.3">
      <c r="B403" s="111">
        <v>66.33333333333303</v>
      </c>
      <c r="C403" s="104">
        <v>12.59</v>
      </c>
      <c r="D403" s="75">
        <v>12.66</v>
      </c>
      <c r="E403" s="75">
        <v>12.72</v>
      </c>
      <c r="F403" s="75">
        <v>1.643</v>
      </c>
      <c r="G403" s="75">
        <v>1.5780000000000001</v>
      </c>
      <c r="H403" s="105">
        <v>1.2789999999999999</v>
      </c>
      <c r="I403" s="104">
        <v>11.76</v>
      </c>
      <c r="J403" s="75">
        <v>11.79</v>
      </c>
      <c r="K403" s="75">
        <v>11.82</v>
      </c>
      <c r="L403" s="75">
        <v>17.16</v>
      </c>
      <c r="M403" s="75">
        <v>17.52</v>
      </c>
      <c r="N403" s="105">
        <v>17.559999999999999</v>
      </c>
      <c r="O403" s="104">
        <v>7.5330000000000004</v>
      </c>
      <c r="P403" s="75">
        <v>7.524</v>
      </c>
      <c r="Q403" s="75">
        <v>7.5170000000000003</v>
      </c>
      <c r="R403" s="75">
        <v>2.827</v>
      </c>
      <c r="S403" s="75">
        <v>2.395</v>
      </c>
      <c r="T403" s="105">
        <v>2.5049999999999999</v>
      </c>
      <c r="U403" s="104">
        <v>7.99</v>
      </c>
      <c r="V403" s="75">
        <v>7.9660000000000002</v>
      </c>
      <c r="W403" s="75">
        <v>7.8920000000000003</v>
      </c>
      <c r="X403" s="75">
        <v>5.8029999999999999</v>
      </c>
      <c r="Y403" s="75">
        <v>5.2290000000000001</v>
      </c>
      <c r="Z403" s="105">
        <v>4.7089999999999996</v>
      </c>
      <c r="AA403" s="104">
        <v>12.42</v>
      </c>
      <c r="AB403" s="75">
        <v>12.49</v>
      </c>
      <c r="AC403" s="75">
        <v>12.54</v>
      </c>
      <c r="AD403" s="75">
        <v>3.1850000000000001</v>
      </c>
      <c r="AE403" s="75">
        <v>3.1539999999999999</v>
      </c>
      <c r="AF403" s="105">
        <v>2.996</v>
      </c>
    </row>
    <row r="404" spans="2:32" x14ac:dyDescent="0.3">
      <c r="B404" s="111">
        <v>66.499999999999702</v>
      </c>
      <c r="C404" s="104">
        <v>12.66</v>
      </c>
      <c r="D404" s="75">
        <v>12.73</v>
      </c>
      <c r="E404" s="75">
        <v>12.79</v>
      </c>
      <c r="F404" s="75">
        <v>1.613</v>
      </c>
      <c r="G404" s="75">
        <v>1.526</v>
      </c>
      <c r="H404" s="105">
        <v>1.498</v>
      </c>
      <c r="I404" s="104">
        <v>11.8</v>
      </c>
      <c r="J404" s="75">
        <v>11.84</v>
      </c>
      <c r="K404" s="75">
        <v>11.88</v>
      </c>
      <c r="L404" s="75">
        <v>17.88</v>
      </c>
      <c r="M404" s="75">
        <v>17.98</v>
      </c>
      <c r="N404" s="105">
        <v>17.88</v>
      </c>
      <c r="O404" s="104">
        <v>7.6079999999999997</v>
      </c>
      <c r="P404" s="75">
        <v>7.5940000000000003</v>
      </c>
      <c r="Q404" s="75">
        <v>7.5860000000000003</v>
      </c>
      <c r="R404" s="75">
        <v>2.9990000000000001</v>
      </c>
      <c r="S404" s="75">
        <v>2.6070000000000002</v>
      </c>
      <c r="T404" s="105">
        <v>2.6339999999999999</v>
      </c>
      <c r="U404" s="104">
        <v>8.06</v>
      </c>
      <c r="V404" s="75">
        <v>8.0399999999999991</v>
      </c>
      <c r="W404" s="75">
        <v>7.9569999999999999</v>
      </c>
      <c r="X404" s="75">
        <v>6.0069999999999997</v>
      </c>
      <c r="Y404" s="75">
        <v>5.5389999999999997</v>
      </c>
      <c r="Z404" s="105">
        <v>4.7839999999999998</v>
      </c>
      <c r="AA404" s="104">
        <v>12.5</v>
      </c>
      <c r="AB404" s="75">
        <v>12.56</v>
      </c>
      <c r="AC404" s="75">
        <v>12.61</v>
      </c>
      <c r="AD404" s="75">
        <v>3.085</v>
      </c>
      <c r="AE404" s="75">
        <v>3.1379999999999999</v>
      </c>
      <c r="AF404" s="105">
        <v>3.2189999999999999</v>
      </c>
    </row>
    <row r="405" spans="2:32" x14ac:dyDescent="0.3">
      <c r="B405" s="111">
        <v>66.666666666666373</v>
      </c>
      <c r="C405" s="104">
        <v>12.73</v>
      </c>
      <c r="D405" s="75">
        <v>12.8</v>
      </c>
      <c r="E405" s="75">
        <v>12.87</v>
      </c>
      <c r="F405" s="75">
        <v>1.522</v>
      </c>
      <c r="G405" s="75">
        <v>1.409</v>
      </c>
      <c r="H405" s="105">
        <v>1.3580000000000001</v>
      </c>
      <c r="I405" s="104">
        <v>11.85</v>
      </c>
      <c r="J405" s="75">
        <v>11.89</v>
      </c>
      <c r="K405" s="75">
        <v>11.93</v>
      </c>
      <c r="L405" s="75">
        <v>18.260000000000002</v>
      </c>
      <c r="M405" s="75">
        <v>18.239999999999998</v>
      </c>
      <c r="N405" s="105">
        <v>18.38</v>
      </c>
      <c r="O405" s="104">
        <v>7.7009999999999996</v>
      </c>
      <c r="P405" s="75">
        <v>7.6849999999999996</v>
      </c>
      <c r="Q405" s="75">
        <v>7.6779999999999999</v>
      </c>
      <c r="R405" s="75">
        <v>3.3159999999999998</v>
      </c>
      <c r="S405" s="75">
        <v>2.8969999999999998</v>
      </c>
      <c r="T405" s="105">
        <v>3.0619999999999998</v>
      </c>
      <c r="U405" s="104">
        <v>8.15</v>
      </c>
      <c r="V405" s="75">
        <v>8.1199999999999992</v>
      </c>
      <c r="W405" s="75">
        <v>8.0399999999999991</v>
      </c>
      <c r="X405" s="75">
        <v>6.2549999999999999</v>
      </c>
      <c r="Y405" s="75">
        <v>5.7160000000000002</v>
      </c>
      <c r="Z405" s="105">
        <v>5.3369999999999997</v>
      </c>
      <c r="AA405" s="104">
        <v>12.57</v>
      </c>
      <c r="AB405" s="75">
        <v>12.63</v>
      </c>
      <c r="AC405" s="75">
        <v>12.68</v>
      </c>
      <c r="AD405" s="75">
        <v>3.0059999999999998</v>
      </c>
      <c r="AE405" s="75">
        <v>2.9489999999999998</v>
      </c>
      <c r="AF405" s="105">
        <v>3.0529999999999999</v>
      </c>
    </row>
    <row r="406" spans="2:32" x14ac:dyDescent="0.3">
      <c r="B406" s="111">
        <v>66.833333333333044</v>
      </c>
      <c r="C406" s="104">
        <v>12.8</v>
      </c>
      <c r="D406" s="75">
        <v>12.88</v>
      </c>
      <c r="E406" s="75">
        <v>12.93</v>
      </c>
      <c r="F406" s="75">
        <v>1.47</v>
      </c>
      <c r="G406" s="75">
        <v>1.6040000000000001</v>
      </c>
      <c r="H406" s="105">
        <v>1.2609999999999999</v>
      </c>
      <c r="I406" s="104">
        <v>11.91</v>
      </c>
      <c r="J406" s="75">
        <v>11.96</v>
      </c>
      <c r="K406" s="75">
        <v>11.99</v>
      </c>
      <c r="L406" s="75">
        <v>18.59</v>
      </c>
      <c r="M406" s="75">
        <v>18.25</v>
      </c>
      <c r="N406" s="105">
        <v>18.350000000000001</v>
      </c>
      <c r="O406" s="104">
        <v>7.7759999999999998</v>
      </c>
      <c r="P406" s="75">
        <v>7.7610000000000001</v>
      </c>
      <c r="Q406" s="75">
        <v>7.7569999999999997</v>
      </c>
      <c r="R406" s="75">
        <v>3.052</v>
      </c>
      <c r="S406" s="75">
        <v>2.9209999999999998</v>
      </c>
      <c r="T406" s="105">
        <v>2.9409999999999998</v>
      </c>
      <c r="U406" s="104">
        <v>8.23</v>
      </c>
      <c r="V406" s="75">
        <v>8.19</v>
      </c>
      <c r="W406" s="75">
        <v>8.1300000000000008</v>
      </c>
      <c r="X406" s="75">
        <v>5.9640000000000004</v>
      </c>
      <c r="Y406" s="75">
        <v>5.6559999999999997</v>
      </c>
      <c r="Z406" s="105">
        <v>5.0910000000000002</v>
      </c>
      <c r="AA406" s="104">
        <v>12.64</v>
      </c>
      <c r="AB406" s="75">
        <v>12.71</v>
      </c>
      <c r="AC406" s="75">
        <v>12.75</v>
      </c>
      <c r="AD406" s="75">
        <v>2.92</v>
      </c>
      <c r="AE406" s="75">
        <v>3.0979999999999999</v>
      </c>
      <c r="AF406" s="105">
        <v>2.915</v>
      </c>
    </row>
    <row r="407" spans="2:32" x14ac:dyDescent="0.3">
      <c r="B407" s="111">
        <v>66.999999999999716</v>
      </c>
      <c r="C407" s="104">
        <v>12.87</v>
      </c>
      <c r="D407" s="75">
        <v>12.95</v>
      </c>
      <c r="E407" s="75">
        <v>13.01</v>
      </c>
      <c r="F407" s="75">
        <v>1.4750000000000001</v>
      </c>
      <c r="G407" s="75">
        <v>1.641</v>
      </c>
      <c r="H407" s="105">
        <v>1.3939999999999999</v>
      </c>
      <c r="I407" s="104">
        <v>11.97</v>
      </c>
      <c r="J407" s="75">
        <v>12.03</v>
      </c>
      <c r="K407" s="75">
        <v>12.05</v>
      </c>
      <c r="L407" s="75">
        <v>18.600000000000001</v>
      </c>
      <c r="M407" s="75">
        <v>18.82</v>
      </c>
      <c r="N407" s="105">
        <v>18.350000000000001</v>
      </c>
      <c r="O407" s="104">
        <v>7.8520000000000003</v>
      </c>
      <c r="P407" s="75">
        <v>7.8310000000000004</v>
      </c>
      <c r="Q407" s="75">
        <v>7.8310000000000004</v>
      </c>
      <c r="R407" s="75">
        <v>2.7919999999999998</v>
      </c>
      <c r="S407" s="75">
        <v>2.84</v>
      </c>
      <c r="T407" s="105">
        <v>2.851</v>
      </c>
      <c r="U407" s="104">
        <v>8.3000000000000007</v>
      </c>
      <c r="V407" s="75">
        <v>8.26</v>
      </c>
      <c r="W407" s="75">
        <v>8.1999999999999993</v>
      </c>
      <c r="X407" s="75">
        <v>5.6050000000000004</v>
      </c>
      <c r="Y407" s="75">
        <v>5.5890000000000004</v>
      </c>
      <c r="Z407" s="105">
        <v>4.9710000000000001</v>
      </c>
      <c r="AA407" s="104">
        <v>12.71</v>
      </c>
      <c r="AB407" s="75">
        <v>12.79</v>
      </c>
      <c r="AC407" s="75">
        <v>12.83</v>
      </c>
      <c r="AD407" s="75">
        <v>2.903</v>
      </c>
      <c r="AE407" s="75">
        <v>3.165</v>
      </c>
      <c r="AF407" s="105">
        <v>3.0859999999999999</v>
      </c>
    </row>
    <row r="408" spans="2:32" x14ac:dyDescent="0.3">
      <c r="B408" s="111">
        <v>67.166666666666387</v>
      </c>
      <c r="C408" s="104">
        <v>12.94</v>
      </c>
      <c r="D408" s="75">
        <v>13.02</v>
      </c>
      <c r="E408" s="75">
        <v>13.08</v>
      </c>
      <c r="F408" s="75">
        <v>1.55</v>
      </c>
      <c r="G408" s="75">
        <v>1.498</v>
      </c>
      <c r="H408" s="105">
        <v>1.5449999999999999</v>
      </c>
      <c r="I408" s="104">
        <v>12.03</v>
      </c>
      <c r="J408" s="75">
        <v>12.08</v>
      </c>
      <c r="K408" s="75">
        <v>12.12</v>
      </c>
      <c r="L408" s="75">
        <v>18.86</v>
      </c>
      <c r="M408" s="75">
        <v>18.91</v>
      </c>
      <c r="N408" s="105">
        <v>18.66</v>
      </c>
      <c r="O408" s="104">
        <v>7.9219999999999997</v>
      </c>
      <c r="P408" s="75">
        <v>7.9059999999999997</v>
      </c>
      <c r="Q408" s="75">
        <v>7.8949999999999996</v>
      </c>
      <c r="R408" s="75">
        <v>2.9140000000000001</v>
      </c>
      <c r="S408" s="75">
        <v>2.819</v>
      </c>
      <c r="T408" s="105">
        <v>2.6150000000000002</v>
      </c>
      <c r="U408" s="104">
        <v>8.3699999999999992</v>
      </c>
      <c r="V408" s="75">
        <v>8.33</v>
      </c>
      <c r="W408" s="75">
        <v>8.27</v>
      </c>
      <c r="X408" s="75">
        <v>5.7619999999999996</v>
      </c>
      <c r="Y408" s="75">
        <v>5.5069999999999997</v>
      </c>
      <c r="Z408" s="105">
        <v>4.62</v>
      </c>
      <c r="AA408" s="104">
        <v>12.78</v>
      </c>
      <c r="AB408" s="75">
        <v>12.85</v>
      </c>
      <c r="AC408" s="75">
        <v>12.9</v>
      </c>
      <c r="AD408" s="75">
        <v>2.992</v>
      </c>
      <c r="AE408" s="75">
        <v>2.976</v>
      </c>
      <c r="AF408" s="105">
        <v>3.1640000000000001</v>
      </c>
    </row>
    <row r="409" spans="2:32" x14ac:dyDescent="0.3">
      <c r="B409" s="111">
        <v>67.333333333333059</v>
      </c>
      <c r="C409" s="104">
        <v>13.01</v>
      </c>
      <c r="D409" s="75">
        <v>13.08</v>
      </c>
      <c r="E409" s="75">
        <v>13.15</v>
      </c>
      <c r="F409" s="75">
        <v>1.492</v>
      </c>
      <c r="G409" s="75">
        <v>1.349</v>
      </c>
      <c r="H409" s="105">
        <v>1.359</v>
      </c>
      <c r="I409" s="104">
        <v>12.11</v>
      </c>
      <c r="J409" s="75">
        <v>12.16</v>
      </c>
      <c r="K409" s="75">
        <v>12.28</v>
      </c>
      <c r="L409" s="75">
        <v>19.059999999999999</v>
      </c>
      <c r="M409" s="75">
        <v>18.88</v>
      </c>
      <c r="N409" s="105">
        <v>17.5</v>
      </c>
      <c r="O409" s="104">
        <v>7.9969999999999999</v>
      </c>
      <c r="P409" s="75">
        <v>7.976</v>
      </c>
      <c r="Q409" s="75">
        <v>7.9649999999999999</v>
      </c>
      <c r="R409" s="75">
        <v>2.964</v>
      </c>
      <c r="S409" s="75">
        <v>2.7930000000000001</v>
      </c>
      <c r="T409" s="105">
        <v>2.5249999999999999</v>
      </c>
      <c r="U409" s="104">
        <v>8.4499999999999993</v>
      </c>
      <c r="V409" s="75">
        <v>8.41</v>
      </c>
      <c r="W409" s="75">
        <v>8.33</v>
      </c>
      <c r="X409" s="75">
        <v>5.8250000000000002</v>
      </c>
      <c r="Y409" s="75">
        <v>5.5140000000000002</v>
      </c>
      <c r="Z409" s="105">
        <v>4.585</v>
      </c>
      <c r="AA409" s="104">
        <v>12.86</v>
      </c>
      <c r="AB409" s="75">
        <v>12.92</v>
      </c>
      <c r="AC409" s="75">
        <v>12.97</v>
      </c>
      <c r="AD409" s="75">
        <v>2.9140000000000001</v>
      </c>
      <c r="AE409" s="75">
        <v>2.8639999999999999</v>
      </c>
      <c r="AF409" s="105">
        <v>3.0310000000000001</v>
      </c>
    </row>
    <row r="410" spans="2:32" x14ac:dyDescent="0.3">
      <c r="B410" s="111">
        <v>67.49999999999973</v>
      </c>
      <c r="C410" s="104">
        <v>13.08</v>
      </c>
      <c r="D410" s="75">
        <v>13.17</v>
      </c>
      <c r="E410" s="75">
        <v>13.23</v>
      </c>
      <c r="F410" s="75">
        <v>1.4139999999999999</v>
      </c>
      <c r="G410" s="75">
        <v>1.5409999999999999</v>
      </c>
      <c r="H410" s="105">
        <v>1.4370000000000001</v>
      </c>
      <c r="I410" s="104">
        <v>12.24</v>
      </c>
      <c r="J410" s="75">
        <v>12.37</v>
      </c>
      <c r="K410" s="75">
        <v>12.49</v>
      </c>
      <c r="L410" s="75">
        <v>18.68</v>
      </c>
      <c r="M410" s="75">
        <v>17.13</v>
      </c>
      <c r="N410" s="105">
        <v>14.5</v>
      </c>
      <c r="O410" s="104">
        <v>8.07</v>
      </c>
      <c r="P410" s="75">
        <v>8.06</v>
      </c>
      <c r="Q410" s="75">
        <v>8.0399999999999991</v>
      </c>
      <c r="R410" s="75">
        <v>2.7469999999999999</v>
      </c>
      <c r="S410" s="75">
        <v>2.7850000000000001</v>
      </c>
      <c r="T410" s="105">
        <v>2.8679999999999999</v>
      </c>
      <c r="U410" s="104">
        <v>8.51</v>
      </c>
      <c r="V410" s="75">
        <v>8.48</v>
      </c>
      <c r="W410" s="75">
        <v>8.4</v>
      </c>
      <c r="X410" s="75">
        <v>5.4820000000000002</v>
      </c>
      <c r="Y410" s="75">
        <v>5.4530000000000003</v>
      </c>
      <c r="Z410" s="105">
        <v>4.9790000000000001</v>
      </c>
      <c r="AA410" s="104">
        <v>12.93</v>
      </c>
      <c r="AB410" s="75">
        <v>13</v>
      </c>
      <c r="AC410" s="75">
        <v>13.05</v>
      </c>
      <c r="AD410" s="75">
        <v>2.8519999999999999</v>
      </c>
      <c r="AE410" s="75">
        <v>3.0249999999999999</v>
      </c>
      <c r="AF410" s="105">
        <v>3.125</v>
      </c>
    </row>
    <row r="411" spans="2:32" x14ac:dyDescent="0.3">
      <c r="B411" s="111">
        <v>67.666666666666401</v>
      </c>
      <c r="C411" s="104">
        <v>13.16</v>
      </c>
      <c r="D411" s="75">
        <v>13.24</v>
      </c>
      <c r="E411" s="75">
        <v>13.3</v>
      </c>
      <c r="F411" s="75">
        <v>1.5580000000000001</v>
      </c>
      <c r="G411" s="75">
        <v>1.4359999999999999</v>
      </c>
      <c r="H411" s="105">
        <v>1.1659999999999999</v>
      </c>
      <c r="I411" s="104">
        <v>12.44</v>
      </c>
      <c r="J411" s="75">
        <v>12.59</v>
      </c>
      <c r="K411" s="75">
        <v>12.69</v>
      </c>
      <c r="L411" s="75">
        <v>15.46</v>
      </c>
      <c r="M411" s="75">
        <v>13.71</v>
      </c>
      <c r="N411" s="105">
        <v>12</v>
      </c>
      <c r="O411" s="104">
        <v>8.14</v>
      </c>
      <c r="P411" s="75">
        <v>8.1300000000000008</v>
      </c>
      <c r="Q411" s="75">
        <v>8.11</v>
      </c>
      <c r="R411" s="75">
        <v>2.6949999999999998</v>
      </c>
      <c r="S411" s="75">
        <v>2.9049999999999998</v>
      </c>
      <c r="T411" s="105">
        <v>2.7909999999999999</v>
      </c>
      <c r="U411" s="104">
        <v>8.58</v>
      </c>
      <c r="V411" s="75">
        <v>8.5500000000000007</v>
      </c>
      <c r="W411" s="75">
        <v>8.48</v>
      </c>
      <c r="X411" s="75">
        <v>5.4930000000000003</v>
      </c>
      <c r="Y411" s="75">
        <v>5.532</v>
      </c>
      <c r="Z411" s="105">
        <v>4.8049999999999997</v>
      </c>
      <c r="AA411" s="104">
        <v>13</v>
      </c>
      <c r="AB411" s="75">
        <v>13.08</v>
      </c>
      <c r="AC411" s="75">
        <v>13.12</v>
      </c>
      <c r="AD411" s="75">
        <v>2.9660000000000002</v>
      </c>
      <c r="AE411" s="75">
        <v>2.964</v>
      </c>
      <c r="AF411" s="105">
        <v>2.8980000000000001</v>
      </c>
    </row>
    <row r="412" spans="2:32" x14ac:dyDescent="0.3">
      <c r="B412" s="111">
        <v>67.833333333333073</v>
      </c>
      <c r="C412" s="104">
        <v>13.23</v>
      </c>
      <c r="D412" s="75">
        <v>13.3</v>
      </c>
      <c r="E412" s="75">
        <v>13.4</v>
      </c>
      <c r="F412" s="75">
        <v>1.585</v>
      </c>
      <c r="G412" s="75">
        <v>1.3979999999999999</v>
      </c>
      <c r="H412" s="105">
        <v>1.621</v>
      </c>
      <c r="I412" s="104">
        <v>12.63</v>
      </c>
      <c r="J412" s="75">
        <v>12.79</v>
      </c>
      <c r="K412" s="75">
        <v>12.92</v>
      </c>
      <c r="L412" s="75">
        <v>12.55</v>
      </c>
      <c r="M412" s="75">
        <v>11.03</v>
      </c>
      <c r="N412" s="105">
        <v>9.5</v>
      </c>
      <c r="O412" s="104">
        <v>8.2200000000000006</v>
      </c>
      <c r="P412" s="75">
        <v>8.1999999999999993</v>
      </c>
      <c r="Q412" s="75">
        <v>8.18</v>
      </c>
      <c r="R412" s="75">
        <v>2.8839999999999999</v>
      </c>
      <c r="S412" s="75">
        <v>2.899</v>
      </c>
      <c r="T412" s="105">
        <v>2.633</v>
      </c>
      <c r="U412" s="104">
        <v>8.66</v>
      </c>
      <c r="V412" s="75">
        <v>8.6199999999999992</v>
      </c>
      <c r="W412" s="75">
        <v>8.5399999999999991</v>
      </c>
      <c r="X412" s="75">
        <v>5.6349999999999998</v>
      </c>
      <c r="Y412" s="75">
        <v>5.5270000000000001</v>
      </c>
      <c r="Z412" s="105">
        <v>4.6870000000000003</v>
      </c>
      <c r="AA412" s="104">
        <v>13.08</v>
      </c>
      <c r="AB412" s="75">
        <v>13.14</v>
      </c>
      <c r="AC412" s="75">
        <v>13.21</v>
      </c>
      <c r="AD412" s="75">
        <v>3.0430000000000001</v>
      </c>
      <c r="AE412" s="75">
        <v>2.9319999999999999</v>
      </c>
      <c r="AF412" s="105">
        <v>3.3929999999999998</v>
      </c>
    </row>
    <row r="413" spans="2:32" x14ac:dyDescent="0.3">
      <c r="B413" s="111">
        <v>67.999999999999744</v>
      </c>
      <c r="C413" s="104">
        <v>13.3</v>
      </c>
      <c r="D413" s="75">
        <v>13.4</v>
      </c>
      <c r="E413" s="75">
        <v>13.52</v>
      </c>
      <c r="F413" s="75">
        <v>1.516</v>
      </c>
      <c r="G413" s="75">
        <v>1.714</v>
      </c>
      <c r="H413" s="105">
        <v>1.5680000000000001</v>
      </c>
      <c r="I413" s="104">
        <v>12.81</v>
      </c>
      <c r="J413" s="75">
        <v>13</v>
      </c>
      <c r="K413" s="75">
        <v>13.14</v>
      </c>
      <c r="L413" s="75">
        <v>10.36</v>
      </c>
      <c r="M413" s="75">
        <v>8.73</v>
      </c>
      <c r="N413" s="105">
        <v>7.931</v>
      </c>
      <c r="O413" s="104">
        <v>8.2799999999999994</v>
      </c>
      <c r="P413" s="75">
        <v>8.27</v>
      </c>
      <c r="Q413" s="75">
        <v>8.25</v>
      </c>
      <c r="R413" s="75">
        <v>2.7639999999999998</v>
      </c>
      <c r="S413" s="75">
        <v>2.7090000000000001</v>
      </c>
      <c r="T413" s="105">
        <v>2.7440000000000002</v>
      </c>
      <c r="U413" s="104">
        <v>8.7200000000000006</v>
      </c>
      <c r="V413" s="75">
        <v>8.69</v>
      </c>
      <c r="W413" s="75">
        <v>8.61</v>
      </c>
      <c r="X413" s="75">
        <v>5.54</v>
      </c>
      <c r="Y413" s="75">
        <v>5.2539999999999996</v>
      </c>
      <c r="Z413" s="105">
        <v>4.742</v>
      </c>
      <c r="AA413" s="104">
        <v>13.14</v>
      </c>
      <c r="AB413" s="75">
        <v>13.23</v>
      </c>
      <c r="AC413" s="75">
        <v>13.33</v>
      </c>
      <c r="AD413" s="75">
        <v>2.9860000000000002</v>
      </c>
      <c r="AE413" s="75">
        <v>3.278</v>
      </c>
      <c r="AF413" s="105">
        <v>3.4420000000000002</v>
      </c>
    </row>
    <row r="414" spans="2:32" x14ac:dyDescent="0.3">
      <c r="B414" s="111">
        <v>68.166666666666416</v>
      </c>
      <c r="C414" s="104">
        <v>13.39</v>
      </c>
      <c r="D414" s="75">
        <v>13.48</v>
      </c>
      <c r="E414" s="75">
        <v>13.6</v>
      </c>
      <c r="F414" s="75">
        <v>1.917</v>
      </c>
      <c r="G414" s="75">
        <v>1.677</v>
      </c>
      <c r="H414" s="105">
        <v>0.93400000000000005</v>
      </c>
      <c r="I414" s="104">
        <v>13.02</v>
      </c>
      <c r="J414" s="75">
        <v>13.17</v>
      </c>
      <c r="K414" s="75">
        <v>13.31</v>
      </c>
      <c r="L414" s="75">
        <v>8.19</v>
      </c>
      <c r="M414" s="75">
        <v>7.1660000000000004</v>
      </c>
      <c r="N414" s="105">
        <v>6.2380000000000004</v>
      </c>
      <c r="O414" s="104">
        <v>8.35</v>
      </c>
      <c r="P414" s="75">
        <v>8.34</v>
      </c>
      <c r="Q414" s="75">
        <v>8.33</v>
      </c>
      <c r="R414" s="75">
        <v>2.78</v>
      </c>
      <c r="S414" s="75">
        <v>2.6019999999999999</v>
      </c>
      <c r="T414" s="105">
        <v>2.6779999999999999</v>
      </c>
      <c r="U414" s="104">
        <v>8.7799999999999994</v>
      </c>
      <c r="V414" s="75">
        <v>8.76</v>
      </c>
      <c r="W414" s="75">
        <v>8.68</v>
      </c>
      <c r="X414" s="75">
        <v>5.5960000000000001</v>
      </c>
      <c r="Y414" s="75">
        <v>5.1710000000000003</v>
      </c>
      <c r="Z414" s="105">
        <v>4.6349999999999998</v>
      </c>
      <c r="AA414" s="104">
        <v>13.23</v>
      </c>
      <c r="AB414" s="75">
        <v>13.31</v>
      </c>
      <c r="AC414" s="75">
        <v>13.41</v>
      </c>
      <c r="AD414" s="75">
        <v>3.4329999999999998</v>
      </c>
      <c r="AE414" s="75">
        <v>3.278</v>
      </c>
      <c r="AF414" s="105">
        <v>2.8519999999999999</v>
      </c>
    </row>
    <row r="415" spans="2:32" x14ac:dyDescent="0.3">
      <c r="B415" s="111">
        <v>68.333333333333087</v>
      </c>
      <c r="C415" s="104">
        <v>13.47</v>
      </c>
      <c r="D415" s="75">
        <v>13.57</v>
      </c>
      <c r="E415" s="75">
        <v>13.68</v>
      </c>
      <c r="F415" s="75">
        <v>1.667</v>
      </c>
      <c r="G415" s="75">
        <v>1.623</v>
      </c>
      <c r="H415" s="105">
        <v>0.48599999999999999</v>
      </c>
      <c r="I415" s="104">
        <v>13.19</v>
      </c>
      <c r="J415" s="75">
        <v>13.33</v>
      </c>
      <c r="K415" s="75">
        <v>13.46</v>
      </c>
      <c r="L415" s="75">
        <v>6.8710000000000004</v>
      </c>
      <c r="M415" s="75">
        <v>5.7160000000000002</v>
      </c>
      <c r="N415" s="105">
        <v>4.5350000000000001</v>
      </c>
      <c r="O415" s="104">
        <v>8.42</v>
      </c>
      <c r="P415" s="75">
        <v>8.41</v>
      </c>
      <c r="Q415" s="75">
        <v>8.39</v>
      </c>
      <c r="R415" s="75">
        <v>2.8410000000000002</v>
      </c>
      <c r="S415" s="75">
        <v>2.8519999999999999</v>
      </c>
      <c r="T415" s="105">
        <v>2.7749999999999999</v>
      </c>
      <c r="U415" s="104">
        <v>8.86</v>
      </c>
      <c r="V415" s="75">
        <v>8.83</v>
      </c>
      <c r="W415" s="75">
        <v>8.75</v>
      </c>
      <c r="X415" s="75">
        <v>5.6150000000000002</v>
      </c>
      <c r="Y415" s="75">
        <v>5.4349999999999996</v>
      </c>
      <c r="Z415" s="105">
        <v>4.7789999999999999</v>
      </c>
      <c r="AA415" s="104">
        <v>13.31</v>
      </c>
      <c r="AB415" s="75">
        <v>13.4</v>
      </c>
      <c r="AC415" s="75">
        <v>13.48</v>
      </c>
      <c r="AD415" s="75">
        <v>3.2050000000000001</v>
      </c>
      <c r="AE415" s="75">
        <v>3.258</v>
      </c>
      <c r="AF415" s="105">
        <v>2.4569999999999999</v>
      </c>
    </row>
    <row r="416" spans="2:32" x14ac:dyDescent="0.3">
      <c r="B416" s="111">
        <v>68.499999999999758</v>
      </c>
      <c r="C416" s="104">
        <v>13.56</v>
      </c>
      <c r="D416" s="75">
        <v>13.65</v>
      </c>
      <c r="E416" s="75">
        <v>13.76</v>
      </c>
      <c r="F416" s="75">
        <v>1.7050000000000001</v>
      </c>
      <c r="G416" s="75">
        <v>1.5529999999999999</v>
      </c>
      <c r="H416" s="105">
        <v>0.54800000000000004</v>
      </c>
      <c r="I416" s="104">
        <v>13.34</v>
      </c>
      <c r="J416" s="75">
        <v>13.46</v>
      </c>
      <c r="K416" s="75">
        <v>13.57</v>
      </c>
      <c r="L416" s="75">
        <v>5.4130000000000003</v>
      </c>
      <c r="M416" s="75">
        <v>4.6859999999999999</v>
      </c>
      <c r="N416" s="105">
        <v>3.1869999999999998</v>
      </c>
      <c r="O416" s="104">
        <v>8.49</v>
      </c>
      <c r="P416" s="75">
        <v>8.49</v>
      </c>
      <c r="Q416" s="75">
        <v>8.4600000000000009</v>
      </c>
      <c r="R416" s="75">
        <v>2.5579999999999998</v>
      </c>
      <c r="S416" s="75">
        <v>2.859</v>
      </c>
      <c r="T416" s="105">
        <v>2.706</v>
      </c>
      <c r="U416" s="104">
        <v>8.92</v>
      </c>
      <c r="V416" s="75">
        <v>8.9</v>
      </c>
      <c r="W416" s="75">
        <v>8.82</v>
      </c>
      <c r="X416" s="75">
        <v>5.2759999999999998</v>
      </c>
      <c r="Y416" s="75">
        <v>5.407</v>
      </c>
      <c r="Z416" s="105">
        <v>4.6689999999999996</v>
      </c>
      <c r="AA416" s="104">
        <v>13.4</v>
      </c>
      <c r="AB416" s="75">
        <v>13.48</v>
      </c>
      <c r="AC416" s="75">
        <v>13.56</v>
      </c>
      <c r="AD416" s="75">
        <v>3.26</v>
      </c>
      <c r="AE416" s="75">
        <v>3.2050000000000001</v>
      </c>
      <c r="AF416" s="105">
        <v>2.556</v>
      </c>
    </row>
    <row r="417" spans="2:32" x14ac:dyDescent="0.3">
      <c r="B417" s="111">
        <v>68.66666666666643</v>
      </c>
      <c r="C417" s="104">
        <v>13.64</v>
      </c>
      <c r="D417" s="75">
        <v>13.72</v>
      </c>
      <c r="E417" s="75">
        <v>13.83</v>
      </c>
      <c r="F417" s="75">
        <v>1.552</v>
      </c>
      <c r="G417" s="75">
        <v>1.323</v>
      </c>
      <c r="H417" s="105">
        <v>0.57999999999999996</v>
      </c>
      <c r="I417" s="104">
        <v>13.46</v>
      </c>
      <c r="J417" s="75">
        <v>13.56</v>
      </c>
      <c r="K417" s="75">
        <v>13.67</v>
      </c>
      <c r="L417" s="75">
        <v>4.5540000000000003</v>
      </c>
      <c r="M417" s="75">
        <v>4.0030000000000001</v>
      </c>
      <c r="N417" s="105">
        <v>2.7639999999999998</v>
      </c>
      <c r="O417" s="104">
        <v>8.56</v>
      </c>
      <c r="P417" s="75">
        <v>8.56</v>
      </c>
      <c r="Q417" s="75">
        <v>8.5399999999999991</v>
      </c>
      <c r="R417" s="75">
        <v>2.7229999999999999</v>
      </c>
      <c r="S417" s="75">
        <v>2.7370000000000001</v>
      </c>
      <c r="T417" s="105">
        <v>2.7160000000000002</v>
      </c>
      <c r="U417" s="104">
        <v>8.99</v>
      </c>
      <c r="V417" s="75">
        <v>8.9700000000000006</v>
      </c>
      <c r="W417" s="75">
        <v>8.8800000000000008</v>
      </c>
      <c r="X417" s="75">
        <v>5.4450000000000003</v>
      </c>
      <c r="Y417" s="75">
        <v>5.3040000000000003</v>
      </c>
      <c r="Z417" s="105">
        <v>4.6550000000000002</v>
      </c>
      <c r="AA417" s="104">
        <v>13.47</v>
      </c>
      <c r="AB417" s="75">
        <v>13.54</v>
      </c>
      <c r="AC417" s="75">
        <v>13.63</v>
      </c>
      <c r="AD417" s="75">
        <v>3.1219999999999999</v>
      </c>
      <c r="AE417" s="75">
        <v>2.9750000000000001</v>
      </c>
      <c r="AF417" s="105">
        <v>2.5609999999999999</v>
      </c>
    </row>
    <row r="418" spans="2:32" x14ac:dyDescent="0.3">
      <c r="B418" s="111">
        <v>68.833333333333101</v>
      </c>
      <c r="C418" s="104">
        <v>13.71</v>
      </c>
      <c r="D418" s="75">
        <v>13.79</v>
      </c>
      <c r="E418" s="75">
        <v>13.91</v>
      </c>
      <c r="F418" s="75">
        <v>1.4319999999999999</v>
      </c>
      <c r="G418" s="75">
        <v>1.333</v>
      </c>
      <c r="H418" s="105">
        <v>0.67</v>
      </c>
      <c r="I418" s="104">
        <v>13.56</v>
      </c>
      <c r="J418" s="75">
        <v>13.64</v>
      </c>
      <c r="K418" s="75">
        <v>13.76</v>
      </c>
      <c r="L418" s="75">
        <v>3.7989999999999999</v>
      </c>
      <c r="M418" s="75">
        <v>3.3250000000000002</v>
      </c>
      <c r="N418" s="105">
        <v>2.4380000000000002</v>
      </c>
      <c r="O418" s="104">
        <v>8.64</v>
      </c>
      <c r="P418" s="75">
        <v>8.6300000000000008</v>
      </c>
      <c r="Q418" s="75">
        <v>8.61</v>
      </c>
      <c r="R418" s="75">
        <v>3.0550000000000002</v>
      </c>
      <c r="S418" s="75">
        <v>2.6819999999999999</v>
      </c>
      <c r="T418" s="105">
        <v>2.7240000000000002</v>
      </c>
      <c r="U418" s="104">
        <v>9.06</v>
      </c>
      <c r="V418" s="75">
        <v>9.0299999999999994</v>
      </c>
      <c r="W418" s="75">
        <v>8.9499999999999993</v>
      </c>
      <c r="X418" s="75">
        <v>5.8109999999999999</v>
      </c>
      <c r="Y418" s="75">
        <v>5.1520000000000001</v>
      </c>
      <c r="Z418" s="105">
        <v>4.6319999999999997</v>
      </c>
      <c r="AA418" s="104">
        <v>13.54</v>
      </c>
      <c r="AB418" s="75">
        <v>13.62</v>
      </c>
      <c r="AC418" s="75">
        <v>13.7</v>
      </c>
      <c r="AD418" s="75">
        <v>2.9940000000000002</v>
      </c>
      <c r="AE418" s="75">
        <v>3.004</v>
      </c>
      <c r="AF418" s="105">
        <v>2.6360000000000001</v>
      </c>
    </row>
    <row r="419" spans="2:32" x14ac:dyDescent="0.3">
      <c r="B419" s="111">
        <v>68.999999999999773</v>
      </c>
      <c r="C419" s="104">
        <v>13.78</v>
      </c>
      <c r="D419" s="75">
        <v>13.86</v>
      </c>
      <c r="E419" s="75">
        <v>13.98</v>
      </c>
      <c r="F419" s="75">
        <v>1.4450000000000001</v>
      </c>
      <c r="G419" s="75">
        <v>1.3460000000000001</v>
      </c>
      <c r="H419" s="105">
        <v>0.56799999999999995</v>
      </c>
      <c r="I419" s="104">
        <v>13.65</v>
      </c>
      <c r="J419" s="75">
        <v>13.72</v>
      </c>
      <c r="K419" s="75">
        <v>13.84</v>
      </c>
      <c r="L419" s="75">
        <v>3.3090000000000002</v>
      </c>
      <c r="M419" s="75">
        <v>3.056</v>
      </c>
      <c r="N419" s="105">
        <v>2.2759999999999998</v>
      </c>
      <c r="O419" s="104">
        <v>8.73</v>
      </c>
      <c r="P419" s="75">
        <v>8.7200000000000006</v>
      </c>
      <c r="Q419" s="75">
        <v>8.69</v>
      </c>
      <c r="R419" s="75">
        <v>3.3039999999999998</v>
      </c>
      <c r="S419" s="75">
        <v>3.3250000000000002</v>
      </c>
      <c r="T419" s="105">
        <v>3.161</v>
      </c>
      <c r="U419" s="104">
        <v>9.15</v>
      </c>
      <c r="V419" s="75">
        <v>9.1199999999999992</v>
      </c>
      <c r="W419" s="75">
        <v>9.0299999999999994</v>
      </c>
      <c r="X419" s="75">
        <v>6.0910000000000002</v>
      </c>
      <c r="Y419" s="75">
        <v>5.819</v>
      </c>
      <c r="Z419" s="105">
        <v>5.1310000000000002</v>
      </c>
      <c r="AA419" s="104">
        <v>13.62</v>
      </c>
      <c r="AB419" s="75">
        <v>13.68</v>
      </c>
      <c r="AC419" s="75">
        <v>13.78</v>
      </c>
      <c r="AD419" s="75">
        <v>3.03</v>
      </c>
      <c r="AE419" s="75">
        <v>2.9980000000000002</v>
      </c>
      <c r="AF419" s="105">
        <v>2.52</v>
      </c>
    </row>
    <row r="420" spans="2:32" x14ac:dyDescent="0.3">
      <c r="B420" s="111">
        <v>69.166666666666444</v>
      </c>
      <c r="C420" s="104">
        <v>13.85</v>
      </c>
      <c r="D420" s="75">
        <v>13.93</v>
      </c>
      <c r="E420" s="75">
        <v>14.06</v>
      </c>
      <c r="F420" s="75">
        <v>1.365</v>
      </c>
      <c r="G420" s="75">
        <v>1.413</v>
      </c>
      <c r="H420" s="105">
        <v>0.74199999999999999</v>
      </c>
      <c r="I420" s="104">
        <v>13.73</v>
      </c>
      <c r="J420" s="75">
        <v>13.8</v>
      </c>
      <c r="K420" s="75">
        <v>13.92</v>
      </c>
      <c r="L420" s="75">
        <v>3.0779999999999998</v>
      </c>
      <c r="M420" s="75">
        <v>2.9430000000000001</v>
      </c>
      <c r="N420" s="105">
        <v>2.0329999999999999</v>
      </c>
      <c r="O420" s="104">
        <v>8.8000000000000007</v>
      </c>
      <c r="P420" s="75">
        <v>8.81</v>
      </c>
      <c r="Q420" s="75">
        <v>8.7899999999999991</v>
      </c>
      <c r="R420" s="75">
        <v>2.9860000000000002</v>
      </c>
      <c r="S420" s="75">
        <v>3.3490000000000002</v>
      </c>
      <c r="T420" s="105">
        <v>3.343</v>
      </c>
      <c r="U420" s="104">
        <v>9.2200000000000006</v>
      </c>
      <c r="V420" s="75">
        <v>9.2100000000000009</v>
      </c>
      <c r="W420" s="75">
        <v>9.1300000000000008</v>
      </c>
      <c r="X420" s="75">
        <v>5.6459999999999999</v>
      </c>
      <c r="Y420" s="75">
        <v>5.8470000000000004</v>
      </c>
      <c r="Z420" s="105">
        <v>5.3730000000000002</v>
      </c>
      <c r="AA420" s="104">
        <v>13.69</v>
      </c>
      <c r="AB420" s="75">
        <v>13.75</v>
      </c>
      <c r="AC420" s="75">
        <v>13.85</v>
      </c>
      <c r="AD420" s="75">
        <v>2.9329999999999998</v>
      </c>
      <c r="AE420" s="75">
        <v>3.0510000000000002</v>
      </c>
      <c r="AF420" s="105">
        <v>2.6850000000000001</v>
      </c>
    </row>
    <row r="421" spans="2:32" x14ac:dyDescent="0.3">
      <c r="B421" s="111">
        <v>69.333333333333115</v>
      </c>
      <c r="C421" s="104">
        <v>13.93</v>
      </c>
      <c r="D421" s="75">
        <v>14.01</v>
      </c>
      <c r="E421" s="75">
        <v>14.13</v>
      </c>
      <c r="F421" s="75">
        <v>1.4690000000000001</v>
      </c>
      <c r="G421" s="75">
        <v>1.36</v>
      </c>
      <c r="H421" s="105">
        <v>0.87</v>
      </c>
      <c r="I421" s="104">
        <v>13.8</v>
      </c>
      <c r="J421" s="75">
        <v>13.88</v>
      </c>
      <c r="K421" s="75">
        <v>13.99</v>
      </c>
      <c r="L421" s="75">
        <v>2.7879999999999998</v>
      </c>
      <c r="M421" s="75">
        <v>2.9</v>
      </c>
      <c r="N421" s="105">
        <v>2.129</v>
      </c>
      <c r="O421" s="104">
        <v>8.89</v>
      </c>
      <c r="P421" s="75">
        <v>8.89</v>
      </c>
      <c r="Q421" s="75">
        <v>8.8699999999999992</v>
      </c>
      <c r="R421" s="75">
        <v>3.056</v>
      </c>
      <c r="S421" s="75">
        <v>3.1659999999999999</v>
      </c>
      <c r="T421" s="105">
        <v>3.0259999999999998</v>
      </c>
      <c r="U421" s="104">
        <v>9.3000000000000007</v>
      </c>
      <c r="V421" s="75">
        <v>9.2799999999999994</v>
      </c>
      <c r="W421" s="75">
        <v>9.2100000000000009</v>
      </c>
      <c r="X421" s="75">
        <v>5.6639999999999997</v>
      </c>
      <c r="Y421" s="75">
        <v>5.6379999999999999</v>
      </c>
      <c r="Z421" s="105">
        <v>4.899</v>
      </c>
      <c r="AA421" s="104">
        <v>13.76</v>
      </c>
      <c r="AB421" s="75">
        <v>13.83</v>
      </c>
      <c r="AC421" s="75">
        <v>13.92</v>
      </c>
      <c r="AD421" s="75">
        <v>3.0289999999999999</v>
      </c>
      <c r="AE421" s="75">
        <v>3.0009999999999999</v>
      </c>
      <c r="AF421" s="105">
        <v>2.8450000000000002</v>
      </c>
    </row>
    <row r="422" spans="2:32" x14ac:dyDescent="0.3">
      <c r="B422" s="111">
        <v>69.499999999999787</v>
      </c>
      <c r="C422" s="104">
        <v>14</v>
      </c>
      <c r="D422" s="75">
        <v>14.07</v>
      </c>
      <c r="E422" s="75">
        <v>14.2</v>
      </c>
      <c r="F422" s="75">
        <v>1.452</v>
      </c>
      <c r="G422" s="75">
        <v>1.18</v>
      </c>
      <c r="H422" s="105">
        <v>1.022</v>
      </c>
      <c r="I422" s="104">
        <v>13.88</v>
      </c>
      <c r="J422" s="75">
        <v>13.95</v>
      </c>
      <c r="K422" s="75">
        <v>14.07</v>
      </c>
      <c r="L422" s="75">
        <v>2.88</v>
      </c>
      <c r="M422" s="75">
        <v>2.7490000000000001</v>
      </c>
      <c r="N422" s="105">
        <v>2.41</v>
      </c>
      <c r="O422" s="104">
        <v>8.9600000000000009</v>
      </c>
      <c r="P422" s="75">
        <v>8.9600000000000009</v>
      </c>
      <c r="Q422" s="75">
        <v>8.94</v>
      </c>
      <c r="R422" s="75">
        <v>3.1259999999999999</v>
      </c>
      <c r="S422" s="75">
        <v>2.96</v>
      </c>
      <c r="T422" s="105">
        <v>2.919</v>
      </c>
      <c r="U422" s="104">
        <v>9.3800000000000008</v>
      </c>
      <c r="V422" s="75">
        <v>9.36</v>
      </c>
      <c r="W422" s="75">
        <v>9.2799999999999994</v>
      </c>
      <c r="X422" s="75">
        <v>5.7130000000000001</v>
      </c>
      <c r="Y422" s="75">
        <v>5.3330000000000002</v>
      </c>
      <c r="Z422" s="105">
        <v>4.7990000000000004</v>
      </c>
      <c r="AA422" s="104">
        <v>13.83</v>
      </c>
      <c r="AB422" s="75">
        <v>13.9</v>
      </c>
      <c r="AC422" s="75">
        <v>14</v>
      </c>
      <c r="AD422" s="75">
        <v>3.0249999999999999</v>
      </c>
      <c r="AE422" s="75">
        <v>2.8319999999999999</v>
      </c>
      <c r="AF422" s="105">
        <v>2.9209999999999998</v>
      </c>
    </row>
    <row r="423" spans="2:32" x14ac:dyDescent="0.3">
      <c r="B423" s="111">
        <v>69.666666666666458</v>
      </c>
      <c r="C423" s="104">
        <v>14.06</v>
      </c>
      <c r="D423" s="75">
        <v>14.14</v>
      </c>
      <c r="E423" s="75">
        <v>14.26</v>
      </c>
      <c r="F423" s="75">
        <v>1.399</v>
      </c>
      <c r="G423" s="75">
        <v>1.0960000000000001</v>
      </c>
      <c r="H423" s="105">
        <v>0.82299999999999995</v>
      </c>
      <c r="I423" s="104">
        <v>13.94</v>
      </c>
      <c r="J423" s="75">
        <v>14.02</v>
      </c>
      <c r="K423" s="75">
        <v>14.13</v>
      </c>
      <c r="L423" s="75">
        <v>2.802</v>
      </c>
      <c r="M423" s="75">
        <v>2.5409999999999999</v>
      </c>
      <c r="N423" s="105">
        <v>2.4359999999999999</v>
      </c>
      <c r="O423" s="104">
        <v>9.0299999999999994</v>
      </c>
      <c r="P423" s="75">
        <v>9.0399999999999991</v>
      </c>
      <c r="Q423" s="75">
        <v>9.0299999999999994</v>
      </c>
      <c r="R423" s="75">
        <v>2.9710000000000001</v>
      </c>
      <c r="S423" s="75">
        <v>3.0369999999999999</v>
      </c>
      <c r="T423" s="105">
        <v>3.0760000000000001</v>
      </c>
      <c r="U423" s="104">
        <v>9.4499999999999993</v>
      </c>
      <c r="V423" s="75">
        <v>9.43</v>
      </c>
      <c r="W423" s="75">
        <v>9.36</v>
      </c>
      <c r="X423" s="75">
        <v>5.5140000000000002</v>
      </c>
      <c r="Y423" s="75">
        <v>5.3559999999999999</v>
      </c>
      <c r="Z423" s="105">
        <v>4.9749999999999996</v>
      </c>
      <c r="AA423" s="104">
        <v>13.9</v>
      </c>
      <c r="AB423" s="75">
        <v>13.97</v>
      </c>
      <c r="AC423" s="75">
        <v>14.06</v>
      </c>
      <c r="AD423" s="75">
        <v>2.9510000000000001</v>
      </c>
      <c r="AE423" s="75">
        <v>2.7440000000000002</v>
      </c>
      <c r="AF423" s="105">
        <v>2.6850000000000001</v>
      </c>
    </row>
    <row r="424" spans="2:32" x14ac:dyDescent="0.3">
      <c r="B424" s="111">
        <v>69.83333333333313</v>
      </c>
      <c r="C424" s="104">
        <v>14.13</v>
      </c>
      <c r="D424" s="75">
        <v>14.21</v>
      </c>
      <c r="E424" s="75">
        <v>14.32</v>
      </c>
      <c r="F424" s="75">
        <v>1.325</v>
      </c>
      <c r="G424" s="75">
        <v>1.1539999999999999</v>
      </c>
      <c r="H424" s="105">
        <v>0.81499999999999995</v>
      </c>
      <c r="I424" s="104">
        <v>14.02</v>
      </c>
      <c r="J424" s="75">
        <v>14.09</v>
      </c>
      <c r="K424" s="75">
        <v>14.19</v>
      </c>
      <c r="L424" s="75">
        <v>2.6779999999999999</v>
      </c>
      <c r="M424" s="75">
        <v>2.4260000000000002</v>
      </c>
      <c r="N424" s="105">
        <v>2.149</v>
      </c>
      <c r="O424" s="104">
        <v>9.1</v>
      </c>
      <c r="P424" s="75">
        <v>9.1199999999999992</v>
      </c>
      <c r="Q424" s="75">
        <v>9.1</v>
      </c>
      <c r="R424" s="75">
        <v>2.7690000000000001</v>
      </c>
      <c r="S424" s="75">
        <v>3.0539999999999998</v>
      </c>
      <c r="T424" s="105">
        <v>3.0070000000000001</v>
      </c>
      <c r="U424" s="104">
        <v>9.51</v>
      </c>
      <c r="V424" s="75">
        <v>9.51</v>
      </c>
      <c r="W424" s="75">
        <v>9.44</v>
      </c>
      <c r="X424" s="75">
        <v>5.28</v>
      </c>
      <c r="Y424" s="75">
        <v>5.4180000000000001</v>
      </c>
      <c r="Z424" s="105">
        <v>4.8120000000000003</v>
      </c>
      <c r="AA424" s="104">
        <v>13.97</v>
      </c>
      <c r="AB424" s="75">
        <v>14.04</v>
      </c>
      <c r="AC424" s="75">
        <v>14.12</v>
      </c>
      <c r="AD424" s="75">
        <v>2.855</v>
      </c>
      <c r="AE424" s="75">
        <v>2.7909999999999999</v>
      </c>
      <c r="AF424" s="105">
        <v>2.641</v>
      </c>
    </row>
    <row r="425" spans="2:32" x14ac:dyDescent="0.3">
      <c r="B425" s="111">
        <v>69.999999999999801</v>
      </c>
      <c r="C425" s="104">
        <v>14.2</v>
      </c>
      <c r="D425" s="75">
        <v>14.28</v>
      </c>
      <c r="E425" s="75">
        <v>14.4</v>
      </c>
      <c r="F425" s="75">
        <v>1.367</v>
      </c>
      <c r="G425" s="75">
        <v>1.1599999999999999</v>
      </c>
      <c r="H425" s="105">
        <v>1.1379999999999999</v>
      </c>
      <c r="I425" s="104">
        <v>14.08</v>
      </c>
      <c r="J425" s="75">
        <v>14.17</v>
      </c>
      <c r="K425" s="75">
        <v>14.27</v>
      </c>
      <c r="L425" s="75">
        <v>2.625</v>
      </c>
      <c r="M425" s="75">
        <v>2.5089999999999999</v>
      </c>
      <c r="N425" s="105">
        <v>2.1739999999999999</v>
      </c>
      <c r="O425" s="104">
        <v>9.18</v>
      </c>
      <c r="P425" s="75">
        <v>9.1999999999999993</v>
      </c>
      <c r="Q425" s="75">
        <v>9.17</v>
      </c>
      <c r="R425" s="75">
        <v>2.7160000000000002</v>
      </c>
      <c r="S425" s="75">
        <v>3.0430000000000001</v>
      </c>
      <c r="T425" s="105">
        <v>2.9390000000000001</v>
      </c>
      <c r="U425" s="104">
        <v>9.59</v>
      </c>
      <c r="V425" s="75">
        <v>9.58</v>
      </c>
      <c r="W425" s="75">
        <v>9.5</v>
      </c>
      <c r="X425" s="75">
        <v>5.2110000000000003</v>
      </c>
      <c r="Y425" s="75">
        <v>5.415</v>
      </c>
      <c r="Z425" s="105">
        <v>4.718</v>
      </c>
      <c r="AA425" s="104">
        <v>14.03</v>
      </c>
      <c r="AB425" s="75">
        <v>14.11</v>
      </c>
      <c r="AC425" s="75">
        <v>14.2</v>
      </c>
      <c r="AD425" s="75">
        <v>2.88</v>
      </c>
      <c r="AE425" s="75">
        <v>2.831</v>
      </c>
      <c r="AF425" s="105">
        <v>3.0009999999999999</v>
      </c>
    </row>
    <row r="426" spans="2:32" x14ac:dyDescent="0.3">
      <c r="B426" s="111">
        <v>70.166666666666472</v>
      </c>
      <c r="C426" s="104">
        <v>14.26</v>
      </c>
      <c r="D426" s="75">
        <v>14.35</v>
      </c>
      <c r="E426" s="75">
        <v>14.47</v>
      </c>
      <c r="F426" s="75">
        <v>1.34</v>
      </c>
      <c r="G426" s="75">
        <v>0.98599999999999999</v>
      </c>
      <c r="H426" s="105">
        <v>1.1160000000000001</v>
      </c>
      <c r="I426" s="104">
        <v>14.15</v>
      </c>
      <c r="J426" s="75">
        <v>14.24</v>
      </c>
      <c r="K426" s="75">
        <v>14.34</v>
      </c>
      <c r="L426" s="75">
        <v>2.625</v>
      </c>
      <c r="M426" s="75">
        <v>2.4969999999999999</v>
      </c>
      <c r="N426" s="105">
        <v>2.544</v>
      </c>
      <c r="O426" s="104">
        <v>9.25</v>
      </c>
      <c r="P426" s="75">
        <v>9.27</v>
      </c>
      <c r="Q426" s="75">
        <v>9.24</v>
      </c>
      <c r="R426" s="75">
        <v>3.0379999999999998</v>
      </c>
      <c r="S426" s="75">
        <v>2.7509999999999999</v>
      </c>
      <c r="T426" s="105">
        <v>2.8050000000000002</v>
      </c>
      <c r="U426" s="104">
        <v>9.65</v>
      </c>
      <c r="V426" s="75">
        <v>9.65</v>
      </c>
      <c r="W426" s="75">
        <v>9.58</v>
      </c>
      <c r="X426" s="75">
        <v>5.61</v>
      </c>
      <c r="Y426" s="75">
        <v>5.1349999999999998</v>
      </c>
      <c r="Z426" s="105">
        <v>4.577</v>
      </c>
      <c r="AA426" s="104">
        <v>14.1</v>
      </c>
      <c r="AB426" s="75">
        <v>14.18</v>
      </c>
      <c r="AC426" s="75">
        <v>14.27</v>
      </c>
      <c r="AD426" s="75">
        <v>2.8860000000000001</v>
      </c>
      <c r="AE426" s="75">
        <v>2.665</v>
      </c>
      <c r="AF426" s="105">
        <v>2.9279999999999999</v>
      </c>
    </row>
    <row r="427" spans="2:32" x14ac:dyDescent="0.3">
      <c r="B427" s="111">
        <v>70.333333333333144</v>
      </c>
      <c r="C427" s="104">
        <v>14.33</v>
      </c>
      <c r="D427" s="75">
        <v>14.45</v>
      </c>
      <c r="E427" s="75">
        <v>14.53</v>
      </c>
      <c r="F427" s="75">
        <v>1.4239999999999999</v>
      </c>
      <c r="G427" s="75">
        <v>0.76700000000000002</v>
      </c>
      <c r="H427" s="105">
        <v>1.0960000000000001</v>
      </c>
      <c r="I427" s="104">
        <v>14.22</v>
      </c>
      <c r="J427" s="75">
        <v>14.33</v>
      </c>
      <c r="K427" s="75">
        <v>14.4</v>
      </c>
      <c r="L427" s="75">
        <v>2.613</v>
      </c>
      <c r="M427" s="75">
        <v>2.2519999999999998</v>
      </c>
      <c r="N427" s="105">
        <v>2.4489999999999998</v>
      </c>
      <c r="O427" s="104">
        <v>9.32</v>
      </c>
      <c r="P427" s="75">
        <v>9.34</v>
      </c>
      <c r="Q427" s="75">
        <v>9.32</v>
      </c>
      <c r="R427" s="75">
        <v>2.8690000000000002</v>
      </c>
      <c r="S427" s="75">
        <v>2.67</v>
      </c>
      <c r="T427" s="105">
        <v>2.8069999999999999</v>
      </c>
      <c r="U427" s="104">
        <v>9.73</v>
      </c>
      <c r="V427" s="75">
        <v>9.7200000000000006</v>
      </c>
      <c r="W427" s="75">
        <v>9.65</v>
      </c>
      <c r="X427" s="75">
        <v>5.4160000000000004</v>
      </c>
      <c r="Y427" s="75">
        <v>5.0140000000000002</v>
      </c>
      <c r="Z427" s="105">
        <v>4.5960000000000001</v>
      </c>
      <c r="AA427" s="104">
        <v>14.17</v>
      </c>
      <c r="AB427" s="75">
        <v>14.27</v>
      </c>
      <c r="AC427" s="75">
        <v>14.33</v>
      </c>
      <c r="AD427" s="75">
        <v>2.9489999999999998</v>
      </c>
      <c r="AE427" s="75">
        <v>2.5619999999999998</v>
      </c>
      <c r="AF427" s="105">
        <v>2.8740000000000001</v>
      </c>
    </row>
    <row r="428" spans="2:32" x14ac:dyDescent="0.3">
      <c r="B428" s="111">
        <v>70.499999999999815</v>
      </c>
      <c r="C428" s="104">
        <v>14.4</v>
      </c>
      <c r="D428" s="75">
        <v>14.55</v>
      </c>
      <c r="E428" s="75">
        <v>14.62</v>
      </c>
      <c r="F428" s="75">
        <v>1.48</v>
      </c>
      <c r="G428" s="75">
        <v>0.88900000000000001</v>
      </c>
      <c r="H428" s="105">
        <v>1.417</v>
      </c>
      <c r="I428" s="104">
        <v>14.29</v>
      </c>
      <c r="J428" s="75">
        <v>14.42</v>
      </c>
      <c r="K428" s="75">
        <v>14.49</v>
      </c>
      <c r="L428" s="75">
        <v>2.6840000000000002</v>
      </c>
      <c r="M428" s="75">
        <v>1.978</v>
      </c>
      <c r="N428" s="105">
        <v>2.323</v>
      </c>
      <c r="O428" s="104">
        <v>9.39</v>
      </c>
      <c r="P428" s="75">
        <v>9.41</v>
      </c>
      <c r="Q428" s="75">
        <v>9.39</v>
      </c>
      <c r="R428" s="75">
        <v>2.6469999999999998</v>
      </c>
      <c r="S428" s="75">
        <v>2.7919999999999998</v>
      </c>
      <c r="T428" s="105">
        <v>2.83</v>
      </c>
      <c r="U428" s="104">
        <v>9.7899999999999991</v>
      </c>
      <c r="V428" s="75">
        <v>9.7899999999999991</v>
      </c>
      <c r="W428" s="75">
        <v>9.7200000000000006</v>
      </c>
      <c r="X428" s="75">
        <v>5.1660000000000004</v>
      </c>
      <c r="Y428" s="75">
        <v>5.1669999999999998</v>
      </c>
      <c r="Z428" s="105">
        <v>4.5979999999999999</v>
      </c>
      <c r="AA428" s="104">
        <v>14.24</v>
      </c>
      <c r="AB428" s="75">
        <v>14.36</v>
      </c>
      <c r="AC428" s="75">
        <v>14.42</v>
      </c>
      <c r="AD428" s="75">
        <v>2.9660000000000002</v>
      </c>
      <c r="AE428" s="75">
        <v>2.722</v>
      </c>
      <c r="AF428" s="105">
        <v>3.2509999999999999</v>
      </c>
    </row>
    <row r="429" spans="2:32" x14ac:dyDescent="0.3">
      <c r="B429" s="111">
        <v>70.666666666666487</v>
      </c>
      <c r="C429" s="104">
        <v>14.47</v>
      </c>
      <c r="D429" s="75">
        <v>14.64</v>
      </c>
      <c r="E429" s="75">
        <v>14.71</v>
      </c>
      <c r="F429" s="75">
        <v>1.498</v>
      </c>
      <c r="G429" s="75">
        <v>1.2110000000000001</v>
      </c>
      <c r="H429" s="105">
        <v>1.4450000000000001</v>
      </c>
      <c r="I429" s="104">
        <v>14.36</v>
      </c>
      <c r="J429" s="75">
        <v>14.52</v>
      </c>
      <c r="K429" s="75">
        <v>14.57</v>
      </c>
      <c r="L429" s="75">
        <v>2.7090000000000001</v>
      </c>
      <c r="M429" s="75">
        <v>2.036</v>
      </c>
      <c r="N429" s="105">
        <v>2.8530000000000002</v>
      </c>
      <c r="O429" s="104">
        <v>9.4600000000000009</v>
      </c>
      <c r="P429" s="75">
        <v>9.48</v>
      </c>
      <c r="Q429" s="75">
        <v>9.4600000000000009</v>
      </c>
      <c r="R429" s="75">
        <v>2.7360000000000002</v>
      </c>
      <c r="S429" s="75">
        <v>2.7440000000000002</v>
      </c>
      <c r="T429" s="105">
        <v>2.8330000000000002</v>
      </c>
      <c r="U429" s="104">
        <v>9.86</v>
      </c>
      <c r="V429" s="75">
        <v>9.86</v>
      </c>
      <c r="W429" s="75">
        <v>9.7899999999999991</v>
      </c>
      <c r="X429" s="75">
        <v>5.28</v>
      </c>
      <c r="Y429" s="75">
        <v>5.0949999999999998</v>
      </c>
      <c r="Z429" s="105">
        <v>4.6349999999999998</v>
      </c>
      <c r="AA429" s="104">
        <v>14.32</v>
      </c>
      <c r="AB429" s="75">
        <v>14.46</v>
      </c>
      <c r="AC429" s="75">
        <v>14.51</v>
      </c>
      <c r="AD429" s="75">
        <v>2.988</v>
      </c>
      <c r="AE429" s="75">
        <v>3.028</v>
      </c>
      <c r="AF429" s="105">
        <v>3.2360000000000002</v>
      </c>
    </row>
    <row r="430" spans="2:32" x14ac:dyDescent="0.3">
      <c r="B430" s="111">
        <v>70.833333333333158</v>
      </c>
      <c r="C430" s="104">
        <v>14.55</v>
      </c>
      <c r="D430" s="75">
        <v>14.72</v>
      </c>
      <c r="E430" s="75">
        <v>14.78</v>
      </c>
      <c r="F430" s="75">
        <v>1.903</v>
      </c>
      <c r="G430" s="75">
        <v>1.198</v>
      </c>
      <c r="H430" s="105">
        <v>1.2729999999999999</v>
      </c>
      <c r="I430" s="104">
        <v>14.44</v>
      </c>
      <c r="J430" s="75">
        <v>14.59</v>
      </c>
      <c r="K430" s="75">
        <v>14.64</v>
      </c>
      <c r="L430" s="75">
        <v>2.746</v>
      </c>
      <c r="M430" s="75">
        <v>2.4820000000000002</v>
      </c>
      <c r="N430" s="105">
        <v>2.722</v>
      </c>
      <c r="O430" s="104">
        <v>9.5399999999999991</v>
      </c>
      <c r="P430" s="75">
        <v>9.5500000000000007</v>
      </c>
      <c r="Q430" s="75">
        <v>9.5299999999999994</v>
      </c>
      <c r="R430" s="75">
        <v>2.8380000000000001</v>
      </c>
      <c r="S430" s="75">
        <v>2.8079999999999998</v>
      </c>
      <c r="T430" s="105">
        <v>2.54</v>
      </c>
      <c r="U430" s="104">
        <v>9.93</v>
      </c>
      <c r="V430" s="75">
        <v>9.93</v>
      </c>
      <c r="W430" s="75">
        <v>9.85</v>
      </c>
      <c r="X430" s="75">
        <v>5.391</v>
      </c>
      <c r="Y430" s="75">
        <v>5.1950000000000003</v>
      </c>
      <c r="Z430" s="105">
        <v>4.3650000000000002</v>
      </c>
      <c r="AA430" s="104">
        <v>14.4</v>
      </c>
      <c r="AB430" s="75">
        <v>14.54</v>
      </c>
      <c r="AC430" s="75">
        <v>14.58</v>
      </c>
      <c r="AD430" s="75">
        <v>3.383</v>
      </c>
      <c r="AE430" s="75">
        <v>2.9140000000000001</v>
      </c>
      <c r="AF430" s="105">
        <v>3.048</v>
      </c>
    </row>
    <row r="431" spans="2:32" x14ac:dyDescent="0.3">
      <c r="B431" s="111">
        <v>70.999999999999829</v>
      </c>
      <c r="C431" s="104">
        <v>14.64</v>
      </c>
      <c r="D431" s="75">
        <v>14.79</v>
      </c>
      <c r="E431" s="75">
        <v>14.85</v>
      </c>
      <c r="F431" s="75">
        <v>1.8720000000000001</v>
      </c>
      <c r="G431" s="75">
        <v>1.1930000000000001</v>
      </c>
      <c r="H431" s="105">
        <v>1.222</v>
      </c>
      <c r="I431" s="104">
        <v>14.52</v>
      </c>
      <c r="J431" s="75">
        <v>14.66</v>
      </c>
      <c r="K431" s="75">
        <v>14.72</v>
      </c>
      <c r="L431" s="75">
        <v>3.153</v>
      </c>
      <c r="M431" s="75">
        <v>2.2639999999999998</v>
      </c>
      <c r="N431" s="105">
        <v>2.5659999999999998</v>
      </c>
      <c r="O431" s="104">
        <v>9.61</v>
      </c>
      <c r="P431" s="75">
        <v>9.6199999999999992</v>
      </c>
      <c r="Q431" s="75">
        <v>9.61</v>
      </c>
      <c r="R431" s="75">
        <v>2.827</v>
      </c>
      <c r="S431" s="75">
        <v>2.7160000000000002</v>
      </c>
      <c r="T431" s="105">
        <v>2.8050000000000002</v>
      </c>
      <c r="U431" s="104">
        <v>10</v>
      </c>
      <c r="V431" s="75">
        <v>9.99</v>
      </c>
      <c r="W431" s="75">
        <v>9.93</v>
      </c>
      <c r="X431" s="75">
        <v>5.3289999999999997</v>
      </c>
      <c r="Y431" s="75">
        <v>5.0730000000000004</v>
      </c>
      <c r="Z431" s="105">
        <v>4.6580000000000004</v>
      </c>
      <c r="AA431" s="104">
        <v>14.48</v>
      </c>
      <c r="AB431" s="75">
        <v>14.61</v>
      </c>
      <c r="AC431" s="75">
        <v>14.66</v>
      </c>
      <c r="AD431" s="75">
        <v>3.3730000000000002</v>
      </c>
      <c r="AE431" s="75">
        <v>2.8849999999999998</v>
      </c>
      <c r="AF431" s="105">
        <v>2.9849999999999999</v>
      </c>
    </row>
    <row r="432" spans="2:32" x14ac:dyDescent="0.3">
      <c r="B432" s="111">
        <v>71.166666666666501</v>
      </c>
      <c r="C432" s="104">
        <v>14.72</v>
      </c>
      <c r="D432" s="75">
        <v>14.86</v>
      </c>
      <c r="E432" s="75">
        <v>14.93</v>
      </c>
      <c r="F432" s="75">
        <v>1.6850000000000001</v>
      </c>
      <c r="G432" s="75">
        <v>1.1020000000000001</v>
      </c>
      <c r="H432" s="105">
        <v>1.254</v>
      </c>
      <c r="I432" s="104">
        <v>14.61</v>
      </c>
      <c r="J432" s="75">
        <v>14.74</v>
      </c>
      <c r="K432" s="75">
        <v>14.79</v>
      </c>
      <c r="L432" s="75">
        <v>3.133</v>
      </c>
      <c r="M432" s="75">
        <v>2.4860000000000002</v>
      </c>
      <c r="N432" s="105">
        <v>2.4820000000000002</v>
      </c>
      <c r="O432" s="104">
        <v>9.68</v>
      </c>
      <c r="P432" s="75">
        <v>9.68</v>
      </c>
      <c r="Q432" s="75">
        <v>9.68</v>
      </c>
      <c r="R432" s="75">
        <v>2.839</v>
      </c>
      <c r="S432" s="75">
        <v>2.6230000000000002</v>
      </c>
      <c r="T432" s="105">
        <v>2.9359999999999999</v>
      </c>
      <c r="U432" s="104">
        <v>10.06</v>
      </c>
      <c r="V432" s="75">
        <v>10.050000000000001</v>
      </c>
      <c r="W432" s="75">
        <v>10</v>
      </c>
      <c r="X432" s="75">
        <v>5.3460000000000001</v>
      </c>
      <c r="Y432" s="75">
        <v>4.95</v>
      </c>
      <c r="Z432" s="105">
        <v>4.7649999999999997</v>
      </c>
      <c r="AA432" s="104">
        <v>14.56</v>
      </c>
      <c r="AB432" s="75">
        <v>14.69</v>
      </c>
      <c r="AC432" s="75">
        <v>14.73</v>
      </c>
      <c r="AD432" s="75">
        <v>3.1739999999999999</v>
      </c>
      <c r="AE432" s="75">
        <v>2.7690000000000001</v>
      </c>
      <c r="AF432" s="105">
        <v>3.0310000000000001</v>
      </c>
    </row>
    <row r="433" spans="2:32" x14ac:dyDescent="0.3">
      <c r="B433" s="111">
        <v>71.333333333333172</v>
      </c>
      <c r="C433" s="104">
        <v>14.8</v>
      </c>
      <c r="D433" s="75">
        <v>14.94</v>
      </c>
      <c r="E433" s="75">
        <v>15</v>
      </c>
      <c r="F433" s="75">
        <v>1.5740000000000001</v>
      </c>
      <c r="G433" s="75">
        <v>1.05</v>
      </c>
      <c r="H433" s="105">
        <v>1.1819999999999999</v>
      </c>
      <c r="I433" s="104">
        <v>14.68</v>
      </c>
      <c r="J433" s="75">
        <v>14.82</v>
      </c>
      <c r="K433" s="75">
        <v>14.87</v>
      </c>
      <c r="L433" s="75">
        <v>2.9420000000000002</v>
      </c>
      <c r="M433" s="75">
        <v>2.327</v>
      </c>
      <c r="N433" s="105">
        <v>2.58</v>
      </c>
      <c r="O433" s="104">
        <v>9.75</v>
      </c>
      <c r="P433" s="75">
        <v>9.92</v>
      </c>
      <c r="Q433" s="75">
        <v>9.75</v>
      </c>
      <c r="R433" s="75">
        <v>2.677</v>
      </c>
      <c r="S433" s="75">
        <v>2.2869999999999999</v>
      </c>
      <c r="T433" s="105">
        <v>2.8540000000000001</v>
      </c>
      <c r="U433" s="104">
        <v>10.14</v>
      </c>
      <c r="V433" s="75">
        <v>10.25</v>
      </c>
      <c r="W433" s="75">
        <v>10.07</v>
      </c>
      <c r="X433" s="75">
        <v>5.2160000000000002</v>
      </c>
      <c r="Y433" s="75">
        <v>4.4039999999999999</v>
      </c>
      <c r="Z433" s="105">
        <v>4.6130000000000004</v>
      </c>
      <c r="AA433" s="104">
        <v>14.64</v>
      </c>
      <c r="AB433" s="75">
        <v>14.76</v>
      </c>
      <c r="AC433" s="75">
        <v>14.81</v>
      </c>
      <c r="AD433" s="75">
        <v>3.0129999999999999</v>
      </c>
      <c r="AE433" s="75">
        <v>2.7090000000000001</v>
      </c>
      <c r="AF433" s="105">
        <v>2.9550000000000001</v>
      </c>
    </row>
    <row r="434" spans="2:32" x14ac:dyDescent="0.3">
      <c r="B434" s="111">
        <v>71.499999999999844</v>
      </c>
      <c r="C434" s="104">
        <v>14.88</v>
      </c>
      <c r="D434" s="75">
        <v>15</v>
      </c>
      <c r="E434" s="75">
        <v>15.07</v>
      </c>
      <c r="F434" s="75">
        <v>1.7430000000000001</v>
      </c>
      <c r="G434" s="75">
        <v>1.3069999999999999</v>
      </c>
      <c r="H434" s="105">
        <v>1.179</v>
      </c>
      <c r="I434" s="104">
        <v>14.76</v>
      </c>
      <c r="J434" s="75">
        <v>14.88</v>
      </c>
      <c r="K434" s="75">
        <v>14.94</v>
      </c>
      <c r="L434" s="75">
        <v>2.7959999999999998</v>
      </c>
      <c r="M434" s="75">
        <v>2.2320000000000002</v>
      </c>
      <c r="N434" s="105">
        <v>2.4750000000000001</v>
      </c>
      <c r="O434" s="104">
        <v>9.84</v>
      </c>
      <c r="P434" s="75">
        <v>10.029999999999999</v>
      </c>
      <c r="Q434" s="75">
        <v>9.85</v>
      </c>
      <c r="R434" s="75">
        <v>3.2559999999999998</v>
      </c>
      <c r="S434" s="75">
        <v>2.4390000000000001</v>
      </c>
      <c r="T434" s="105">
        <v>3.1240000000000001</v>
      </c>
      <c r="U434" s="104">
        <v>10.220000000000001</v>
      </c>
      <c r="V434" s="75">
        <v>10.37</v>
      </c>
      <c r="W434" s="75">
        <v>10.15</v>
      </c>
      <c r="X434" s="75">
        <v>5.782</v>
      </c>
      <c r="Y434" s="75">
        <v>4.7060000000000004</v>
      </c>
      <c r="Z434" s="105">
        <v>4.9640000000000004</v>
      </c>
      <c r="AA434" s="104">
        <v>14.72</v>
      </c>
      <c r="AB434" s="75">
        <v>14.83</v>
      </c>
      <c r="AC434" s="75">
        <v>14.88</v>
      </c>
      <c r="AD434" s="75">
        <v>3.198</v>
      </c>
      <c r="AE434" s="75">
        <v>2.944</v>
      </c>
      <c r="AF434" s="105">
        <v>2.907</v>
      </c>
    </row>
    <row r="435" spans="2:32" x14ac:dyDescent="0.3">
      <c r="B435" s="111">
        <v>71.666666666666515</v>
      </c>
      <c r="C435" s="104">
        <v>14.95</v>
      </c>
      <c r="D435" s="75">
        <v>15.04</v>
      </c>
      <c r="E435" s="75">
        <v>15.14</v>
      </c>
      <c r="F435" s="75">
        <v>1.5720000000000001</v>
      </c>
      <c r="G435" s="75">
        <v>1.4119999999999999</v>
      </c>
      <c r="H435" s="105">
        <v>1.2509999999999999</v>
      </c>
      <c r="I435" s="104">
        <v>14.84</v>
      </c>
      <c r="J435" s="75">
        <v>14.92</v>
      </c>
      <c r="K435" s="75">
        <v>15.01</v>
      </c>
      <c r="L435" s="75">
        <v>2.9239999999999999</v>
      </c>
      <c r="M435" s="75">
        <v>2.61</v>
      </c>
      <c r="N435" s="105">
        <v>2.3959999999999999</v>
      </c>
      <c r="O435" s="104">
        <v>9.92</v>
      </c>
      <c r="P435" s="75">
        <v>10.07</v>
      </c>
      <c r="Q435" s="75">
        <v>9.93</v>
      </c>
      <c r="R435" s="75">
        <v>3.1909999999999998</v>
      </c>
      <c r="S435" s="75">
        <v>2.347</v>
      </c>
      <c r="T435" s="105">
        <v>2.9729999999999999</v>
      </c>
      <c r="U435" s="104">
        <v>10.3</v>
      </c>
      <c r="V435" s="75">
        <v>10.44</v>
      </c>
      <c r="W435" s="75">
        <v>10.23</v>
      </c>
      <c r="X435" s="75">
        <v>5.69</v>
      </c>
      <c r="Y435" s="75">
        <v>4.5839999999999996</v>
      </c>
      <c r="Z435" s="105">
        <v>4.7930000000000001</v>
      </c>
      <c r="AA435" s="104">
        <v>14.8</v>
      </c>
      <c r="AB435" s="75">
        <v>14.87</v>
      </c>
      <c r="AC435" s="75">
        <v>14.95</v>
      </c>
      <c r="AD435" s="75">
        <v>3.0190000000000001</v>
      </c>
      <c r="AE435" s="75">
        <v>2.887</v>
      </c>
      <c r="AF435" s="105">
        <v>2.99</v>
      </c>
    </row>
    <row r="436" spans="2:32" x14ac:dyDescent="0.3">
      <c r="B436" s="111">
        <v>71.833333333333186</v>
      </c>
      <c r="C436" s="104">
        <v>15.02</v>
      </c>
      <c r="D436" s="75">
        <v>15.09</v>
      </c>
      <c r="E436" s="75">
        <v>15.22</v>
      </c>
      <c r="F436" s="75">
        <v>1.57</v>
      </c>
      <c r="G436" s="75">
        <v>1.6819999999999999</v>
      </c>
      <c r="H436" s="105">
        <v>1.198</v>
      </c>
      <c r="I436" s="104">
        <v>14.91</v>
      </c>
      <c r="J436" s="75">
        <v>14.97</v>
      </c>
      <c r="K436" s="75">
        <v>15.09</v>
      </c>
      <c r="L436" s="75">
        <v>2.8050000000000002</v>
      </c>
      <c r="M436" s="75">
        <v>2.528</v>
      </c>
      <c r="N436" s="105">
        <v>2.4590000000000001</v>
      </c>
      <c r="O436" s="104">
        <v>10</v>
      </c>
      <c r="P436" s="75">
        <v>10.119999999999999</v>
      </c>
      <c r="Q436" s="75">
        <v>10.01</v>
      </c>
      <c r="R436" s="75">
        <v>3.008</v>
      </c>
      <c r="S436" s="75">
        <v>2.2709999999999999</v>
      </c>
      <c r="T436" s="105">
        <v>3.03</v>
      </c>
      <c r="U436" s="104">
        <v>10.38</v>
      </c>
      <c r="V436" s="75">
        <v>10.49</v>
      </c>
      <c r="W436" s="75">
        <v>10.32</v>
      </c>
      <c r="X436" s="75">
        <v>5.47</v>
      </c>
      <c r="Y436" s="75">
        <v>4.7329999999999997</v>
      </c>
      <c r="Z436" s="105">
        <v>4.8339999999999996</v>
      </c>
      <c r="AA436" s="104">
        <v>14.87</v>
      </c>
      <c r="AB436" s="75">
        <v>14.93</v>
      </c>
      <c r="AC436" s="75">
        <v>15.03</v>
      </c>
      <c r="AD436" s="75">
        <v>2.992</v>
      </c>
      <c r="AE436" s="75">
        <v>3.0510000000000002</v>
      </c>
      <c r="AF436" s="105">
        <v>2.956</v>
      </c>
    </row>
    <row r="437" spans="2:32" x14ac:dyDescent="0.3">
      <c r="B437" s="111">
        <v>71.999999999999858</v>
      </c>
      <c r="C437" s="104">
        <v>15.1</v>
      </c>
      <c r="D437" s="75">
        <v>15.15</v>
      </c>
      <c r="E437" s="75">
        <v>15.28</v>
      </c>
      <c r="F437" s="75">
        <v>1.389</v>
      </c>
      <c r="G437" s="75">
        <v>1.835</v>
      </c>
      <c r="H437" s="105">
        <v>1.004</v>
      </c>
      <c r="I437" s="104">
        <v>14.99</v>
      </c>
      <c r="J437" s="75">
        <v>15.03</v>
      </c>
      <c r="K437" s="75">
        <v>15.16</v>
      </c>
      <c r="L437" s="75">
        <v>2.7290000000000001</v>
      </c>
      <c r="M437" s="75">
        <v>2.77</v>
      </c>
      <c r="N437" s="105">
        <v>2.488</v>
      </c>
      <c r="O437" s="104">
        <v>10.08</v>
      </c>
      <c r="P437" s="75">
        <v>10.17</v>
      </c>
      <c r="Q437" s="75">
        <v>10.08</v>
      </c>
      <c r="R437" s="75">
        <v>2.8820000000000001</v>
      </c>
      <c r="S437" s="75">
        <v>2.1619999999999999</v>
      </c>
      <c r="T437" s="105">
        <v>2.8330000000000002</v>
      </c>
      <c r="U437" s="104">
        <v>10.45</v>
      </c>
      <c r="V437" s="75">
        <v>10.54</v>
      </c>
      <c r="W437" s="75">
        <v>10.38</v>
      </c>
      <c r="X437" s="75">
        <v>5.4009999999999998</v>
      </c>
      <c r="Y437" s="75">
        <v>4.3390000000000004</v>
      </c>
      <c r="Z437" s="105">
        <v>4.6260000000000003</v>
      </c>
      <c r="AA437" s="104">
        <v>14.95</v>
      </c>
      <c r="AB437" s="75">
        <v>14.99</v>
      </c>
      <c r="AC437" s="75">
        <v>15.1</v>
      </c>
      <c r="AD437" s="75">
        <v>2.823</v>
      </c>
      <c r="AE437" s="75">
        <v>3.19</v>
      </c>
      <c r="AF437" s="105">
        <v>2.7570000000000001</v>
      </c>
    </row>
    <row r="438" spans="2:32" x14ac:dyDescent="0.3">
      <c r="B438" s="111">
        <v>72.166666666666529</v>
      </c>
      <c r="C438" s="104">
        <v>15.17</v>
      </c>
      <c r="D438" s="75">
        <v>15.23</v>
      </c>
      <c r="E438" s="75">
        <v>15.36</v>
      </c>
      <c r="F438" s="75">
        <v>1.6539999999999999</v>
      </c>
      <c r="G438" s="75">
        <v>1.962</v>
      </c>
      <c r="H438" s="105">
        <v>0.96299999999999997</v>
      </c>
      <c r="I438" s="104">
        <v>15.06</v>
      </c>
      <c r="J438" s="75">
        <v>15.11</v>
      </c>
      <c r="K438" s="75">
        <v>15.23</v>
      </c>
      <c r="L438" s="75">
        <v>2.5339999999999998</v>
      </c>
      <c r="M438" s="75">
        <v>2.923</v>
      </c>
      <c r="N438" s="105">
        <v>2.258</v>
      </c>
      <c r="O438" s="104">
        <v>10.16</v>
      </c>
      <c r="P438" s="75">
        <v>10.23</v>
      </c>
      <c r="Q438" s="75">
        <v>10.15</v>
      </c>
      <c r="R438" s="75">
        <v>2.883</v>
      </c>
      <c r="S438" s="75">
        <v>2.0590000000000002</v>
      </c>
      <c r="T438" s="105">
        <v>2.6970000000000001</v>
      </c>
      <c r="U438" s="104">
        <v>10.53</v>
      </c>
      <c r="V438" s="75">
        <v>10.58</v>
      </c>
      <c r="W438" s="75">
        <v>10.45</v>
      </c>
      <c r="X438" s="75">
        <v>5.3170000000000002</v>
      </c>
      <c r="Y438" s="75">
        <v>4.2119999999999997</v>
      </c>
      <c r="Z438" s="105">
        <v>4.476</v>
      </c>
      <c r="AA438" s="104">
        <v>15.02</v>
      </c>
      <c r="AB438" s="75">
        <v>15.07</v>
      </c>
      <c r="AC438" s="75">
        <v>15.17</v>
      </c>
      <c r="AD438" s="75">
        <v>3.0640000000000001</v>
      </c>
      <c r="AE438" s="75">
        <v>3.32</v>
      </c>
      <c r="AF438" s="105">
        <v>2.7309999999999999</v>
      </c>
    </row>
    <row r="439" spans="2:32" x14ac:dyDescent="0.3">
      <c r="B439" s="111">
        <v>72.333333333333201</v>
      </c>
      <c r="C439" s="104">
        <v>15.25</v>
      </c>
      <c r="D439" s="75">
        <v>15.3</v>
      </c>
      <c r="E439" s="75">
        <v>15.44</v>
      </c>
      <c r="F439" s="75">
        <v>1.829</v>
      </c>
      <c r="G439" s="75">
        <v>1.8640000000000001</v>
      </c>
      <c r="H439" s="105">
        <v>1.204</v>
      </c>
      <c r="I439" s="104">
        <v>15.14</v>
      </c>
      <c r="J439" s="75">
        <v>15.17</v>
      </c>
      <c r="K439" s="75">
        <v>15.31</v>
      </c>
      <c r="L439" s="75">
        <v>2.823</v>
      </c>
      <c r="M439" s="75">
        <v>3.3109999999999999</v>
      </c>
      <c r="N439" s="105">
        <v>2.202</v>
      </c>
      <c r="O439" s="104">
        <v>10.23</v>
      </c>
      <c r="P439" s="75">
        <v>10.28</v>
      </c>
      <c r="Q439" s="75">
        <v>10.23</v>
      </c>
      <c r="R439" s="75">
        <v>2.8370000000000002</v>
      </c>
      <c r="S439" s="75">
        <v>2.0630000000000002</v>
      </c>
      <c r="T439" s="105">
        <v>2.6379999999999999</v>
      </c>
      <c r="U439" s="104">
        <v>10.6</v>
      </c>
      <c r="V439" s="75">
        <v>10.63</v>
      </c>
      <c r="W439" s="75">
        <v>10.52</v>
      </c>
      <c r="X439" s="75">
        <v>5.2869999999999999</v>
      </c>
      <c r="Y439" s="75">
        <v>4.3899999999999997</v>
      </c>
      <c r="Z439" s="105">
        <v>4.399</v>
      </c>
      <c r="AA439" s="104">
        <v>15.1</v>
      </c>
      <c r="AB439" s="75">
        <v>15.14</v>
      </c>
      <c r="AC439" s="75">
        <v>15.25</v>
      </c>
      <c r="AD439" s="75">
        <v>3.2250000000000001</v>
      </c>
      <c r="AE439" s="75">
        <v>3.2509999999999999</v>
      </c>
      <c r="AF439" s="105">
        <v>2.9569999999999999</v>
      </c>
    </row>
    <row r="440" spans="2:32" x14ac:dyDescent="0.3">
      <c r="B440" s="111">
        <v>72.499999999999872</v>
      </c>
      <c r="C440" s="104">
        <v>15.33</v>
      </c>
      <c r="D440" s="75">
        <v>15.37</v>
      </c>
      <c r="E440" s="75">
        <v>15.51</v>
      </c>
      <c r="F440" s="75">
        <v>1.766</v>
      </c>
      <c r="G440" s="75">
        <v>1.669</v>
      </c>
      <c r="H440" s="105">
        <v>1.262</v>
      </c>
      <c r="I440" s="104">
        <v>15.22</v>
      </c>
      <c r="J440" s="75">
        <v>15.25</v>
      </c>
      <c r="K440" s="75">
        <v>15.37</v>
      </c>
      <c r="L440" s="75">
        <v>3.05</v>
      </c>
      <c r="M440" s="75">
        <v>3.0739999999999998</v>
      </c>
      <c r="N440" s="105">
        <v>2.5329999999999999</v>
      </c>
      <c r="O440" s="104">
        <v>10.3</v>
      </c>
      <c r="P440" s="75">
        <v>10.33</v>
      </c>
      <c r="Q440" s="75">
        <v>10.3</v>
      </c>
      <c r="R440" s="75">
        <v>2.698</v>
      </c>
      <c r="S440" s="75">
        <v>1.9419999999999999</v>
      </c>
      <c r="T440" s="105">
        <v>2.6579999999999999</v>
      </c>
      <c r="U440" s="104">
        <v>10.66</v>
      </c>
      <c r="V440" s="75">
        <v>10.68</v>
      </c>
      <c r="W440" s="75">
        <v>10.59</v>
      </c>
      <c r="X440" s="75">
        <v>5.1379999999999999</v>
      </c>
      <c r="Y440" s="75">
        <v>4.3070000000000004</v>
      </c>
      <c r="Z440" s="105">
        <v>4.4359999999999999</v>
      </c>
      <c r="AA440" s="104">
        <v>15.18</v>
      </c>
      <c r="AB440" s="75">
        <v>15.21</v>
      </c>
      <c r="AC440" s="75">
        <v>15.32</v>
      </c>
      <c r="AD440" s="75">
        <v>3.1589999999999998</v>
      </c>
      <c r="AE440" s="75">
        <v>3.0470000000000002</v>
      </c>
      <c r="AF440" s="105">
        <v>2.95</v>
      </c>
    </row>
    <row r="441" spans="2:32" x14ac:dyDescent="0.3">
      <c r="B441" s="111">
        <v>72.666666666666544</v>
      </c>
      <c r="C441" s="104">
        <v>15.4</v>
      </c>
      <c r="D441" s="75">
        <v>15.45</v>
      </c>
      <c r="E441" s="75">
        <v>15.57</v>
      </c>
      <c r="F441" s="75">
        <v>1.583</v>
      </c>
      <c r="G441" s="75">
        <v>1.873</v>
      </c>
      <c r="H441" s="105">
        <v>1.0960000000000001</v>
      </c>
      <c r="I441" s="104">
        <v>15.29</v>
      </c>
      <c r="J441" s="75">
        <v>15.33</v>
      </c>
      <c r="K441" s="75">
        <v>15.44</v>
      </c>
      <c r="L441" s="75">
        <v>2.9750000000000001</v>
      </c>
      <c r="M441" s="75">
        <v>2.9510000000000001</v>
      </c>
      <c r="N441" s="105">
        <v>2.355</v>
      </c>
      <c r="O441" s="104">
        <v>10.37</v>
      </c>
      <c r="P441" s="75">
        <v>10.4</v>
      </c>
      <c r="Q441" s="75">
        <v>10.37</v>
      </c>
      <c r="R441" s="75">
        <v>2.5870000000000002</v>
      </c>
      <c r="S441" s="75">
        <v>2.105</v>
      </c>
      <c r="T441" s="105">
        <v>2.7080000000000002</v>
      </c>
      <c r="U441" s="104">
        <v>10.74</v>
      </c>
      <c r="V441" s="75">
        <v>10.74</v>
      </c>
      <c r="W441" s="75">
        <v>10.66</v>
      </c>
      <c r="X441" s="75">
        <v>5.0739999999999998</v>
      </c>
      <c r="Y441" s="75">
        <v>4.5780000000000003</v>
      </c>
      <c r="Z441" s="105">
        <v>4.5819999999999999</v>
      </c>
      <c r="AA441" s="104">
        <v>15.25</v>
      </c>
      <c r="AB441" s="75">
        <v>15.3</v>
      </c>
      <c r="AC441" s="75">
        <v>15.38</v>
      </c>
      <c r="AD441" s="75">
        <v>2.9569999999999999</v>
      </c>
      <c r="AE441" s="75">
        <v>3.2320000000000002</v>
      </c>
      <c r="AF441" s="105">
        <v>2.8220000000000001</v>
      </c>
    </row>
    <row r="442" spans="2:32" x14ac:dyDescent="0.3">
      <c r="B442" s="111">
        <v>72.833333333333215</v>
      </c>
      <c r="C442" s="104">
        <v>15.48</v>
      </c>
      <c r="D442" s="75">
        <v>15.52</v>
      </c>
      <c r="E442" s="75">
        <v>15.64</v>
      </c>
      <c r="F442" s="75">
        <v>1.6659999999999999</v>
      </c>
      <c r="G442" s="75">
        <v>1.798</v>
      </c>
      <c r="H442" s="105">
        <v>0.98799999999999999</v>
      </c>
      <c r="I442" s="104">
        <v>15.37</v>
      </c>
      <c r="J442" s="75">
        <v>15.4</v>
      </c>
      <c r="K442" s="75">
        <v>15.51</v>
      </c>
      <c r="L442" s="75">
        <v>2.754</v>
      </c>
      <c r="M442" s="75">
        <v>3.0630000000000002</v>
      </c>
      <c r="N442" s="105">
        <v>2.3759999999999999</v>
      </c>
      <c r="O442" s="104">
        <v>10.44</v>
      </c>
      <c r="P442" s="75">
        <v>10.46</v>
      </c>
      <c r="Q442" s="75">
        <v>10.44</v>
      </c>
      <c r="R442" s="75">
        <v>2.544</v>
      </c>
      <c r="S442" s="75">
        <v>2.2930000000000001</v>
      </c>
      <c r="T442" s="105">
        <v>2.46</v>
      </c>
      <c r="U442" s="104">
        <v>10.8</v>
      </c>
      <c r="V442" s="75">
        <v>10.79</v>
      </c>
      <c r="W442" s="75">
        <v>10.73</v>
      </c>
      <c r="X442" s="75">
        <v>5.032</v>
      </c>
      <c r="Y442" s="75">
        <v>4.7469999999999999</v>
      </c>
      <c r="Z442" s="105">
        <v>4.2679999999999998</v>
      </c>
      <c r="AA442" s="104">
        <v>15.33</v>
      </c>
      <c r="AB442" s="75">
        <v>15.38</v>
      </c>
      <c r="AC442" s="75">
        <v>15.45</v>
      </c>
      <c r="AD442" s="75">
        <v>3.0409999999999999</v>
      </c>
      <c r="AE442" s="75">
        <v>3.19</v>
      </c>
      <c r="AF442" s="105">
        <v>2.637</v>
      </c>
    </row>
    <row r="443" spans="2:32" x14ac:dyDescent="0.3">
      <c r="B443" s="111">
        <v>72.999999999999886</v>
      </c>
      <c r="C443" s="104">
        <v>15.54</v>
      </c>
      <c r="D443" s="75">
        <v>15.6</v>
      </c>
      <c r="E443" s="75">
        <v>15.73</v>
      </c>
      <c r="F443" s="75">
        <v>1.5309999999999999</v>
      </c>
      <c r="G443" s="75">
        <v>1.92</v>
      </c>
      <c r="H443" s="105">
        <v>1.468</v>
      </c>
      <c r="I443" s="104">
        <v>15.44</v>
      </c>
      <c r="J443" s="75">
        <v>15.48</v>
      </c>
      <c r="K443" s="75">
        <v>15.59</v>
      </c>
      <c r="L443" s="75">
        <v>2.843</v>
      </c>
      <c r="M443" s="75">
        <v>3.0169999999999999</v>
      </c>
      <c r="N443" s="105">
        <v>2.0390000000000001</v>
      </c>
      <c r="O443" s="104">
        <v>10.52</v>
      </c>
      <c r="P443" s="75">
        <v>10.53</v>
      </c>
      <c r="Q443" s="75">
        <v>10.52</v>
      </c>
      <c r="R443" s="75">
        <v>2.734</v>
      </c>
      <c r="S443" s="75">
        <v>2.4319999999999999</v>
      </c>
      <c r="T443" s="105">
        <v>2.544</v>
      </c>
      <c r="U443" s="104">
        <v>10.87</v>
      </c>
      <c r="V443" s="75">
        <v>10.86</v>
      </c>
      <c r="W443" s="75">
        <v>10.81</v>
      </c>
      <c r="X443" s="75">
        <v>5.3390000000000004</v>
      </c>
      <c r="Y443" s="75">
        <v>4.9420000000000002</v>
      </c>
      <c r="Z443" s="105">
        <v>4.4379999999999997</v>
      </c>
      <c r="AA443" s="104">
        <v>15.4</v>
      </c>
      <c r="AB443" s="75">
        <v>15.46</v>
      </c>
      <c r="AC443" s="75">
        <v>15.54</v>
      </c>
      <c r="AD443" s="75">
        <v>2.8519999999999999</v>
      </c>
      <c r="AE443" s="75">
        <v>3.3220000000000001</v>
      </c>
      <c r="AF443" s="105">
        <v>3.1230000000000002</v>
      </c>
    </row>
    <row r="444" spans="2:32" x14ac:dyDescent="0.3">
      <c r="B444" s="111">
        <v>73.166666666666558</v>
      </c>
      <c r="C444" s="104">
        <v>15.61</v>
      </c>
      <c r="D444" s="75">
        <v>15.69</v>
      </c>
      <c r="E444" s="75">
        <v>15.81</v>
      </c>
      <c r="F444" s="75">
        <v>1.7330000000000001</v>
      </c>
      <c r="G444" s="75">
        <v>2.004</v>
      </c>
      <c r="H444" s="105">
        <v>1.423</v>
      </c>
      <c r="I444" s="104">
        <v>15.51</v>
      </c>
      <c r="J444" s="75">
        <v>15.57</v>
      </c>
      <c r="K444" s="75">
        <v>15.67</v>
      </c>
      <c r="L444" s="75">
        <v>2.6850000000000001</v>
      </c>
      <c r="M444" s="75">
        <v>3.1520000000000001</v>
      </c>
      <c r="N444" s="105">
        <v>2.3580000000000001</v>
      </c>
      <c r="O444" s="104">
        <v>10.6</v>
      </c>
      <c r="P444" s="75">
        <v>10.61</v>
      </c>
      <c r="Q444" s="75">
        <v>10.6</v>
      </c>
      <c r="R444" s="75">
        <v>2.7669999999999999</v>
      </c>
      <c r="S444" s="75">
        <v>2.3580000000000001</v>
      </c>
      <c r="T444" s="105">
        <v>2.5289999999999999</v>
      </c>
      <c r="U444" s="104">
        <v>10.95</v>
      </c>
      <c r="V444" s="75">
        <v>10.93</v>
      </c>
      <c r="W444" s="75">
        <v>10.87</v>
      </c>
      <c r="X444" s="75">
        <v>5.3070000000000004</v>
      </c>
      <c r="Y444" s="75">
        <v>4.9630000000000001</v>
      </c>
      <c r="Z444" s="105">
        <v>4.4530000000000003</v>
      </c>
      <c r="AA444" s="104">
        <v>15.47</v>
      </c>
      <c r="AB444" s="75">
        <v>15.55</v>
      </c>
      <c r="AC444" s="75">
        <v>15.63</v>
      </c>
      <c r="AD444" s="75">
        <v>3.0569999999999999</v>
      </c>
      <c r="AE444" s="75">
        <v>3.411</v>
      </c>
      <c r="AF444" s="105">
        <v>3.0710000000000002</v>
      </c>
    </row>
    <row r="445" spans="2:32" x14ac:dyDescent="0.3">
      <c r="B445" s="111">
        <v>73.333333333333229</v>
      </c>
      <c r="C445" s="104">
        <v>15.7</v>
      </c>
      <c r="D445" s="75">
        <v>15.78</v>
      </c>
      <c r="E445" s="75">
        <v>15.88</v>
      </c>
      <c r="F445" s="75">
        <v>1.954</v>
      </c>
      <c r="G445" s="75">
        <v>1.7270000000000001</v>
      </c>
      <c r="H445" s="105">
        <v>1.3540000000000001</v>
      </c>
      <c r="I445" s="104">
        <v>15.59</v>
      </c>
      <c r="J445" s="75">
        <v>15.66</v>
      </c>
      <c r="K445" s="75">
        <v>15.75</v>
      </c>
      <c r="L445" s="75">
        <v>2.859</v>
      </c>
      <c r="M445" s="75">
        <v>3.1539999999999999</v>
      </c>
      <c r="N445" s="105">
        <v>2.383</v>
      </c>
      <c r="O445" s="104">
        <v>10.68</v>
      </c>
      <c r="P445" s="75">
        <v>10.68</v>
      </c>
      <c r="Q445" s="75">
        <v>10.67</v>
      </c>
      <c r="R445" s="75">
        <v>2.7170000000000001</v>
      </c>
      <c r="S445" s="75">
        <v>2.33</v>
      </c>
      <c r="T445" s="105">
        <v>2.59</v>
      </c>
      <c r="U445" s="104">
        <v>11.02</v>
      </c>
      <c r="V445" s="75">
        <v>10.99</v>
      </c>
      <c r="W445" s="75">
        <v>10.94</v>
      </c>
      <c r="X445" s="75">
        <v>5.3330000000000002</v>
      </c>
      <c r="Y445" s="75">
        <v>4.91</v>
      </c>
      <c r="Z445" s="105">
        <v>4.532</v>
      </c>
      <c r="AA445" s="104">
        <v>15.56</v>
      </c>
      <c r="AB445" s="75">
        <v>15.63</v>
      </c>
      <c r="AC445" s="75">
        <v>15.71</v>
      </c>
      <c r="AD445" s="75">
        <v>3.282</v>
      </c>
      <c r="AE445" s="75">
        <v>3.1219999999999999</v>
      </c>
      <c r="AF445" s="105">
        <v>2.9209999999999998</v>
      </c>
    </row>
    <row r="446" spans="2:32" x14ac:dyDescent="0.3">
      <c r="B446" s="111">
        <v>73.499999999999901</v>
      </c>
      <c r="C446" s="104">
        <v>15.78</v>
      </c>
      <c r="D446" s="75">
        <v>15.87</v>
      </c>
      <c r="E446" s="75">
        <v>15.97</v>
      </c>
      <c r="F446" s="75">
        <v>1.7709999999999999</v>
      </c>
      <c r="G446" s="75">
        <v>1.6359999999999999</v>
      </c>
      <c r="H446" s="105">
        <v>1.012</v>
      </c>
      <c r="I446" s="104">
        <v>15.67</v>
      </c>
      <c r="J446" s="75">
        <v>15.75</v>
      </c>
      <c r="K446" s="75">
        <v>15.83</v>
      </c>
      <c r="L446" s="75">
        <v>3.0760000000000001</v>
      </c>
      <c r="M446" s="75">
        <v>2.976</v>
      </c>
      <c r="N446" s="105">
        <v>2.2450000000000001</v>
      </c>
      <c r="O446" s="104">
        <v>10.75</v>
      </c>
      <c r="P446" s="75">
        <v>10.75</v>
      </c>
      <c r="Q446" s="75">
        <v>10.74</v>
      </c>
      <c r="R446" s="75">
        <v>2.5739999999999998</v>
      </c>
      <c r="S446" s="75">
        <v>2.5110000000000001</v>
      </c>
      <c r="T446" s="105">
        <v>2.343</v>
      </c>
      <c r="U446" s="104">
        <v>11.09</v>
      </c>
      <c r="V446" s="75">
        <v>11.07</v>
      </c>
      <c r="W446" s="75">
        <v>11.01</v>
      </c>
      <c r="X446" s="75">
        <v>5.1989999999999998</v>
      </c>
      <c r="Y446" s="75">
        <v>5.1120000000000001</v>
      </c>
      <c r="Z446" s="105">
        <v>4.2750000000000004</v>
      </c>
      <c r="AA446" s="104">
        <v>15.64</v>
      </c>
      <c r="AB446" s="75">
        <v>15.72</v>
      </c>
      <c r="AC446" s="75">
        <v>15.79</v>
      </c>
      <c r="AD446" s="75">
        <v>3.1030000000000002</v>
      </c>
      <c r="AE446" s="75">
        <v>3.06</v>
      </c>
      <c r="AF446" s="105">
        <v>2.5609999999999999</v>
      </c>
    </row>
    <row r="447" spans="2:32" x14ac:dyDescent="0.3">
      <c r="B447" s="111">
        <v>73.666666666666572</v>
      </c>
      <c r="C447" s="104">
        <v>15.85</v>
      </c>
      <c r="D447" s="75">
        <v>15.97</v>
      </c>
      <c r="E447" s="75">
        <v>16.05</v>
      </c>
      <c r="F447" s="75">
        <v>1.8129999999999999</v>
      </c>
      <c r="G447" s="75">
        <v>0.83</v>
      </c>
      <c r="H447" s="105">
        <v>1.6259999999999999</v>
      </c>
      <c r="I447" s="104">
        <v>15.75</v>
      </c>
      <c r="J447" s="75">
        <v>15.85</v>
      </c>
      <c r="K447" s="75">
        <v>15.9</v>
      </c>
      <c r="L447" s="75">
        <v>2.891</v>
      </c>
      <c r="M447" s="75">
        <v>2.8290000000000002</v>
      </c>
      <c r="N447" s="105">
        <v>2.0510000000000002</v>
      </c>
      <c r="O447" s="104">
        <v>10.83</v>
      </c>
      <c r="P447" s="75">
        <v>10.82</v>
      </c>
      <c r="Q447" s="75">
        <v>10.82</v>
      </c>
      <c r="R447" s="75">
        <v>2.4870000000000001</v>
      </c>
      <c r="S447" s="75">
        <v>2.2719999999999998</v>
      </c>
      <c r="T447" s="105">
        <v>2.3149999999999999</v>
      </c>
      <c r="U447" s="104">
        <v>11.16</v>
      </c>
      <c r="V447" s="75">
        <v>11.13</v>
      </c>
      <c r="W447" s="75">
        <v>11.08</v>
      </c>
      <c r="X447" s="75">
        <v>5.1710000000000003</v>
      </c>
      <c r="Y447" s="75">
        <v>4.9039999999999999</v>
      </c>
      <c r="Z447" s="105">
        <v>4.2880000000000003</v>
      </c>
      <c r="AA447" s="104">
        <v>15.72</v>
      </c>
      <c r="AB447" s="75">
        <v>15.81</v>
      </c>
      <c r="AC447" s="75">
        <v>15.87</v>
      </c>
      <c r="AD447" s="75">
        <v>3.11</v>
      </c>
      <c r="AE447" s="75">
        <v>2.3319999999999999</v>
      </c>
      <c r="AF447" s="105">
        <v>3.1230000000000002</v>
      </c>
    </row>
    <row r="448" spans="2:32" x14ac:dyDescent="0.3">
      <c r="B448" s="111">
        <v>73.833333333333243</v>
      </c>
      <c r="C448" s="104">
        <v>15.93</v>
      </c>
      <c r="D448" s="75">
        <v>16.059999999999999</v>
      </c>
      <c r="E448" s="75">
        <v>16.13</v>
      </c>
      <c r="F448" s="75">
        <v>1.833</v>
      </c>
      <c r="G448" s="75">
        <v>0.73</v>
      </c>
      <c r="H448" s="105">
        <v>1.2609999999999999</v>
      </c>
      <c r="I448" s="104">
        <v>15.82</v>
      </c>
      <c r="J448" s="75">
        <v>15.94</v>
      </c>
      <c r="K448" s="75">
        <v>15.98</v>
      </c>
      <c r="L448" s="75">
        <v>2.9249999999999998</v>
      </c>
      <c r="M448" s="75">
        <v>1.9059999999999999</v>
      </c>
      <c r="N448" s="105">
        <v>2.589</v>
      </c>
      <c r="O448" s="104">
        <v>10.9</v>
      </c>
      <c r="P448" s="75">
        <v>10.88</v>
      </c>
      <c r="Q448" s="75">
        <v>10.89</v>
      </c>
      <c r="R448" s="75">
        <v>2.516</v>
      </c>
      <c r="S448" s="75">
        <v>2.2200000000000002</v>
      </c>
      <c r="T448" s="105">
        <v>2.3740000000000001</v>
      </c>
      <c r="U448" s="104">
        <v>11.23</v>
      </c>
      <c r="V448" s="75">
        <v>11.2</v>
      </c>
      <c r="W448" s="75">
        <v>11.15</v>
      </c>
      <c r="X448" s="75">
        <v>5.1769999999999996</v>
      </c>
      <c r="Y448" s="75">
        <v>4.8449999999999998</v>
      </c>
      <c r="Z448" s="105">
        <v>4.4080000000000004</v>
      </c>
      <c r="AA448" s="104">
        <v>15.79</v>
      </c>
      <c r="AB448" s="75">
        <v>15.9</v>
      </c>
      <c r="AC448" s="75">
        <v>15.95</v>
      </c>
      <c r="AD448" s="75">
        <v>3.1309999999999998</v>
      </c>
      <c r="AE448" s="75">
        <v>2.35</v>
      </c>
      <c r="AF448" s="105">
        <v>2.6480000000000001</v>
      </c>
    </row>
    <row r="449" spans="2:32" x14ac:dyDescent="0.3">
      <c r="B449" s="111">
        <v>73.999999999999915</v>
      </c>
      <c r="C449" s="104">
        <v>16.010000000000002</v>
      </c>
      <c r="D449" s="75">
        <v>16.14</v>
      </c>
      <c r="E449" s="75">
        <v>16.2</v>
      </c>
      <c r="F449" s="75">
        <v>1.788</v>
      </c>
      <c r="G449" s="75">
        <v>0.82699999999999996</v>
      </c>
      <c r="H449" s="105">
        <v>1.2070000000000001</v>
      </c>
      <c r="I449" s="104">
        <v>15.9</v>
      </c>
      <c r="J449" s="75">
        <v>16.02</v>
      </c>
      <c r="K449" s="75">
        <v>16.05</v>
      </c>
      <c r="L449" s="75">
        <v>2.911</v>
      </c>
      <c r="M449" s="75">
        <v>1.85</v>
      </c>
      <c r="N449" s="105">
        <v>2.214</v>
      </c>
      <c r="O449" s="104">
        <v>10.99</v>
      </c>
      <c r="P449" s="75">
        <v>10.96</v>
      </c>
      <c r="Q449" s="75">
        <v>10.97</v>
      </c>
      <c r="R449" s="75">
        <v>2.9039999999999999</v>
      </c>
      <c r="S449" s="75">
        <v>2.2269999999999999</v>
      </c>
      <c r="T449" s="105">
        <v>2.71</v>
      </c>
      <c r="U449" s="104">
        <v>11.31</v>
      </c>
      <c r="V449" s="75">
        <v>11.27</v>
      </c>
      <c r="W449" s="75">
        <v>11.23</v>
      </c>
      <c r="X449" s="75">
        <v>5.6449999999999996</v>
      </c>
      <c r="Y449" s="75">
        <v>4.931</v>
      </c>
      <c r="Z449" s="105">
        <v>4.7880000000000003</v>
      </c>
      <c r="AA449" s="104">
        <v>15.87</v>
      </c>
      <c r="AB449" s="75">
        <v>15.98</v>
      </c>
      <c r="AC449" s="75">
        <v>16.02</v>
      </c>
      <c r="AD449" s="75">
        <v>3.093</v>
      </c>
      <c r="AE449" s="75">
        <v>2.4409999999999998</v>
      </c>
      <c r="AF449" s="105">
        <v>2.5219999999999998</v>
      </c>
    </row>
    <row r="450" spans="2:32" x14ac:dyDescent="0.3">
      <c r="B450" s="111">
        <v>74.166666666666586</v>
      </c>
      <c r="C450" s="104">
        <v>16.079999999999998</v>
      </c>
      <c r="D450" s="75">
        <v>16.21</v>
      </c>
      <c r="E450" s="75">
        <v>16.27</v>
      </c>
      <c r="F450" s="75">
        <v>1.5569999999999999</v>
      </c>
      <c r="G450" s="75">
        <v>0.95499999999999996</v>
      </c>
      <c r="H450" s="105">
        <v>1.18</v>
      </c>
      <c r="I450" s="104">
        <v>15.98</v>
      </c>
      <c r="J450" s="75">
        <v>16.09</v>
      </c>
      <c r="K450" s="75">
        <v>16.11</v>
      </c>
      <c r="L450" s="75">
        <v>2.927</v>
      </c>
      <c r="M450" s="75">
        <v>1.8280000000000001</v>
      </c>
      <c r="N450" s="105">
        <v>2.036</v>
      </c>
      <c r="O450" s="104">
        <v>11.08</v>
      </c>
      <c r="P450" s="75">
        <v>11.05</v>
      </c>
      <c r="Q450" s="75">
        <v>11.07</v>
      </c>
      <c r="R450" s="75">
        <v>2.706</v>
      </c>
      <c r="S450" s="75">
        <v>2.843</v>
      </c>
      <c r="T450" s="105">
        <v>2.5870000000000002</v>
      </c>
      <c r="U450" s="104">
        <v>11.39</v>
      </c>
      <c r="V450" s="75">
        <v>11.35</v>
      </c>
      <c r="W450" s="75">
        <v>11.31</v>
      </c>
      <c r="X450" s="75">
        <v>5.4649999999999999</v>
      </c>
      <c r="Y450" s="75">
        <v>5.59</v>
      </c>
      <c r="Z450" s="105">
        <v>4.6970000000000001</v>
      </c>
      <c r="AA450" s="104">
        <v>15.94</v>
      </c>
      <c r="AB450" s="75">
        <v>16.05</v>
      </c>
      <c r="AC450" s="75">
        <v>16.100000000000001</v>
      </c>
      <c r="AD450" s="75">
        <v>2.83</v>
      </c>
      <c r="AE450" s="75">
        <v>2.5710000000000002</v>
      </c>
      <c r="AF450" s="105">
        <v>2.4430000000000001</v>
      </c>
    </row>
    <row r="451" spans="2:32" x14ac:dyDescent="0.3">
      <c r="B451" s="111">
        <v>74.333333333333258</v>
      </c>
      <c r="C451" s="104">
        <v>16.149999999999999</v>
      </c>
      <c r="D451" s="75">
        <v>16.27</v>
      </c>
      <c r="E451" s="75">
        <v>16.329999999999998</v>
      </c>
      <c r="F451" s="75">
        <v>1.6830000000000001</v>
      </c>
      <c r="G451" s="75">
        <v>0.91500000000000004</v>
      </c>
      <c r="H451" s="105">
        <v>1.038</v>
      </c>
      <c r="I451" s="104">
        <v>16.05</v>
      </c>
      <c r="J451" s="75">
        <v>16.149999999999999</v>
      </c>
      <c r="K451" s="75">
        <v>16.170000000000002</v>
      </c>
      <c r="L451" s="75">
        <v>2.653</v>
      </c>
      <c r="M451" s="75">
        <v>2.0779999999999998</v>
      </c>
      <c r="N451" s="105">
        <v>2.0209999999999999</v>
      </c>
      <c r="O451" s="104">
        <v>11.16</v>
      </c>
      <c r="P451" s="75">
        <v>11.14</v>
      </c>
      <c r="Q451" s="75">
        <v>11.15</v>
      </c>
      <c r="R451" s="75">
        <v>2.4780000000000002</v>
      </c>
      <c r="S451" s="75">
        <v>2.67</v>
      </c>
      <c r="T451" s="105">
        <v>2.5920000000000001</v>
      </c>
      <c r="U451" s="104">
        <v>11.47</v>
      </c>
      <c r="V451" s="75">
        <v>11.43</v>
      </c>
      <c r="W451" s="75">
        <v>11.39</v>
      </c>
      <c r="X451" s="75">
        <v>5.21</v>
      </c>
      <c r="Y451" s="75">
        <v>5.4550000000000001</v>
      </c>
      <c r="Z451" s="105">
        <v>4.6760000000000002</v>
      </c>
      <c r="AA451" s="104">
        <v>16.02</v>
      </c>
      <c r="AB451" s="75">
        <v>16.11</v>
      </c>
      <c r="AC451" s="75">
        <v>16.16</v>
      </c>
      <c r="AD451" s="75">
        <v>2.9420000000000002</v>
      </c>
      <c r="AE451" s="75">
        <v>2.427</v>
      </c>
      <c r="AF451" s="105">
        <v>2.246</v>
      </c>
    </row>
    <row r="452" spans="2:32" x14ac:dyDescent="0.3">
      <c r="B452" s="111">
        <v>74.499999999999929</v>
      </c>
      <c r="C452" s="104">
        <v>16.23</v>
      </c>
      <c r="D452" s="75">
        <v>16.34</v>
      </c>
      <c r="E452" s="75">
        <v>16.41</v>
      </c>
      <c r="F452" s="75">
        <v>1.7509999999999999</v>
      </c>
      <c r="G452" s="75">
        <v>0.90500000000000003</v>
      </c>
      <c r="H452" s="105">
        <v>1.1839999999999999</v>
      </c>
      <c r="I452" s="104">
        <v>16.12</v>
      </c>
      <c r="J452" s="75">
        <v>16.22</v>
      </c>
      <c r="K452" s="75">
        <v>16.25</v>
      </c>
      <c r="L452" s="75">
        <v>2.774</v>
      </c>
      <c r="M452" s="75">
        <v>1.865</v>
      </c>
      <c r="N452" s="105">
        <v>2.1429999999999998</v>
      </c>
      <c r="O452" s="104">
        <v>11.24</v>
      </c>
      <c r="P452" s="75">
        <v>11.22</v>
      </c>
      <c r="Q452" s="75">
        <v>11.24</v>
      </c>
      <c r="R452" s="75">
        <v>2.5099999999999998</v>
      </c>
      <c r="S452" s="75">
        <v>2.4670000000000001</v>
      </c>
      <c r="T452" s="105">
        <v>2.5270000000000001</v>
      </c>
      <c r="U452" s="104">
        <v>11.55</v>
      </c>
      <c r="V452" s="75">
        <v>11.51</v>
      </c>
      <c r="W452" s="75">
        <v>11.48</v>
      </c>
      <c r="X452" s="75">
        <v>5.3010000000000002</v>
      </c>
      <c r="Y452" s="75">
        <v>5.2089999999999996</v>
      </c>
      <c r="Z452" s="105">
        <v>4.6740000000000004</v>
      </c>
      <c r="AA452" s="104">
        <v>16.09</v>
      </c>
      <c r="AB452" s="75">
        <v>16.18</v>
      </c>
      <c r="AC452" s="75">
        <v>16.239999999999998</v>
      </c>
      <c r="AD452" s="75">
        <v>3.0110000000000001</v>
      </c>
      <c r="AE452" s="75">
        <v>2.363</v>
      </c>
      <c r="AF452" s="105">
        <v>2.3860000000000001</v>
      </c>
    </row>
    <row r="453" spans="2:32" x14ac:dyDescent="0.3">
      <c r="B453" s="111">
        <v>74.6666666666666</v>
      </c>
      <c r="C453" s="104">
        <v>16.29</v>
      </c>
      <c r="D453" s="75">
        <v>16.399999999999999</v>
      </c>
      <c r="E453" s="75">
        <v>16.48</v>
      </c>
      <c r="F453" s="75">
        <v>1.56</v>
      </c>
      <c r="G453" s="75">
        <v>1.0669999999999999</v>
      </c>
      <c r="H453" s="105">
        <v>1.262</v>
      </c>
      <c r="I453" s="104">
        <v>16.190000000000001</v>
      </c>
      <c r="J453" s="75">
        <v>16.29</v>
      </c>
      <c r="K453" s="75">
        <v>16.309999999999999</v>
      </c>
      <c r="L453" s="75">
        <v>2.8090000000000002</v>
      </c>
      <c r="M453" s="75">
        <v>1.865</v>
      </c>
      <c r="N453" s="105">
        <v>2.234</v>
      </c>
      <c r="O453" s="104">
        <v>11.31</v>
      </c>
      <c r="P453" s="75">
        <v>11.29</v>
      </c>
      <c r="Q453" s="75">
        <v>11.31</v>
      </c>
      <c r="R453" s="75">
        <v>2.347</v>
      </c>
      <c r="S453" s="75">
        <v>2.2349999999999999</v>
      </c>
      <c r="T453" s="105">
        <v>2.4359999999999999</v>
      </c>
      <c r="U453" s="104">
        <v>11.62</v>
      </c>
      <c r="V453" s="75">
        <v>11.58</v>
      </c>
      <c r="W453" s="75">
        <v>11.55</v>
      </c>
      <c r="X453" s="75">
        <v>5.0890000000000004</v>
      </c>
      <c r="Y453" s="75">
        <v>5.0030000000000001</v>
      </c>
      <c r="Z453" s="105">
        <v>4.5670000000000002</v>
      </c>
      <c r="AA453" s="104">
        <v>16.16</v>
      </c>
      <c r="AB453" s="75">
        <v>16.25</v>
      </c>
      <c r="AC453" s="75">
        <v>16.309999999999999</v>
      </c>
      <c r="AD453" s="75">
        <v>2.8010000000000002</v>
      </c>
      <c r="AE453" s="75">
        <v>2.56</v>
      </c>
      <c r="AF453" s="105">
        <v>2.427</v>
      </c>
    </row>
    <row r="454" spans="2:32" x14ac:dyDescent="0.3">
      <c r="B454" s="111">
        <v>74.833333333333272</v>
      </c>
      <c r="C454" s="104">
        <v>16.36</v>
      </c>
      <c r="D454" s="75">
        <v>16.48</v>
      </c>
      <c r="E454" s="75">
        <v>16.55</v>
      </c>
      <c r="F454" s="75">
        <v>1.619</v>
      </c>
      <c r="G454" s="75">
        <v>1.141</v>
      </c>
      <c r="H454" s="105">
        <v>1.23</v>
      </c>
      <c r="I454" s="104">
        <v>16.260000000000002</v>
      </c>
      <c r="J454" s="75">
        <v>16.36</v>
      </c>
      <c r="K454" s="75">
        <v>16.39</v>
      </c>
      <c r="L454" s="75">
        <v>2.6269999999999998</v>
      </c>
      <c r="M454" s="75">
        <v>2.1989999999999998</v>
      </c>
      <c r="N454" s="105">
        <v>2.294</v>
      </c>
      <c r="O454" s="104">
        <v>11.39</v>
      </c>
      <c r="P454" s="75">
        <v>11.38</v>
      </c>
      <c r="Q454" s="75">
        <v>11.39</v>
      </c>
      <c r="R454" s="75">
        <v>2.371</v>
      </c>
      <c r="S454" s="75">
        <v>2.5489999999999999</v>
      </c>
      <c r="T454" s="105">
        <v>2.3340000000000001</v>
      </c>
      <c r="U454" s="104">
        <v>11.69</v>
      </c>
      <c r="V454" s="75">
        <v>11.67</v>
      </c>
      <c r="W454" s="75">
        <v>11.63</v>
      </c>
      <c r="X454" s="75">
        <v>5.1879999999999997</v>
      </c>
      <c r="Y454" s="75">
        <v>5.3639999999999999</v>
      </c>
      <c r="Z454" s="105">
        <v>4.4820000000000002</v>
      </c>
      <c r="AA454" s="104">
        <v>16.23</v>
      </c>
      <c r="AB454" s="75">
        <v>16.32</v>
      </c>
      <c r="AC454" s="75">
        <v>16.38</v>
      </c>
      <c r="AD454" s="75">
        <v>2.8639999999999999</v>
      </c>
      <c r="AE454" s="75">
        <v>2.6309999999999998</v>
      </c>
      <c r="AF454" s="105">
        <v>2.3380000000000001</v>
      </c>
    </row>
    <row r="455" spans="2:32" x14ac:dyDescent="0.3">
      <c r="B455" s="111">
        <v>74.999999999999943</v>
      </c>
      <c r="C455" s="104">
        <v>16.440000000000001</v>
      </c>
      <c r="D455" s="75">
        <v>16.55</v>
      </c>
      <c r="E455" s="75">
        <v>16.63</v>
      </c>
      <c r="F455" s="75">
        <v>1.7250000000000001</v>
      </c>
      <c r="G455" s="75">
        <v>1.1919999999999999</v>
      </c>
      <c r="H455" s="105">
        <v>1.4279999999999999</v>
      </c>
      <c r="I455" s="104">
        <v>16.329999999999998</v>
      </c>
      <c r="J455" s="75">
        <v>16.43</v>
      </c>
      <c r="K455" s="75">
        <v>16.46</v>
      </c>
      <c r="L455" s="75">
        <v>2.702</v>
      </c>
      <c r="M455" s="75">
        <v>2.1749999999999998</v>
      </c>
      <c r="N455" s="105">
        <v>2.4369999999999998</v>
      </c>
      <c r="O455" s="104">
        <v>11.47</v>
      </c>
      <c r="P455" s="75">
        <v>11.45</v>
      </c>
      <c r="Q455" s="75">
        <v>11.46</v>
      </c>
      <c r="R455" s="75">
        <v>2.2810000000000001</v>
      </c>
      <c r="S455" s="75">
        <v>2.31</v>
      </c>
      <c r="T455" s="105">
        <v>2.125</v>
      </c>
      <c r="U455" s="104">
        <v>11.76</v>
      </c>
      <c r="V455" s="75">
        <v>11.74</v>
      </c>
      <c r="W455" s="75">
        <v>11.7</v>
      </c>
      <c r="X455" s="75">
        <v>5.0659999999999998</v>
      </c>
      <c r="Y455" s="75">
        <v>5.0439999999999996</v>
      </c>
      <c r="Z455" s="105">
        <v>4.2489999999999997</v>
      </c>
      <c r="AA455" s="104">
        <v>16.309999999999999</v>
      </c>
      <c r="AB455" s="75">
        <v>16.39</v>
      </c>
      <c r="AC455" s="75">
        <v>16.46</v>
      </c>
      <c r="AD455" s="75">
        <v>2.9590000000000001</v>
      </c>
      <c r="AE455" s="75">
        <v>2.6520000000000001</v>
      </c>
      <c r="AF455" s="105">
        <v>2.5259999999999998</v>
      </c>
    </row>
    <row r="456" spans="2:32" x14ac:dyDescent="0.3">
      <c r="B456" s="111">
        <v>75.166666666666615</v>
      </c>
      <c r="C456" s="104">
        <v>16.510000000000002</v>
      </c>
      <c r="D456" s="75">
        <v>16.61</v>
      </c>
      <c r="E456" s="75">
        <v>16.690000000000001</v>
      </c>
      <c r="F456" s="75">
        <v>1.6479999999999999</v>
      </c>
      <c r="G456" s="75">
        <v>1.083</v>
      </c>
      <c r="H456" s="105">
        <v>1.24</v>
      </c>
      <c r="I456" s="104">
        <v>16.41</v>
      </c>
      <c r="J456" s="75">
        <v>16.489999999999998</v>
      </c>
      <c r="K456" s="75">
        <v>16.53</v>
      </c>
      <c r="L456" s="75">
        <v>2.7719999999999998</v>
      </c>
      <c r="M456" s="75">
        <v>2.2149999999999999</v>
      </c>
      <c r="N456" s="105">
        <v>2.7629999999999999</v>
      </c>
      <c r="O456" s="104">
        <v>11.54</v>
      </c>
      <c r="P456" s="75">
        <v>11.52</v>
      </c>
      <c r="Q456" s="75">
        <v>11.54</v>
      </c>
      <c r="R456" s="75">
        <v>2.3889999999999998</v>
      </c>
      <c r="S456" s="75">
        <v>2.12</v>
      </c>
      <c r="T456" s="105">
        <v>2.2629999999999999</v>
      </c>
      <c r="U456" s="104">
        <v>11.84</v>
      </c>
      <c r="V456" s="75">
        <v>11.8</v>
      </c>
      <c r="W456" s="75">
        <v>11.78</v>
      </c>
      <c r="X456" s="75">
        <v>5.2530000000000001</v>
      </c>
      <c r="Y456" s="75">
        <v>4.88</v>
      </c>
      <c r="Z456" s="105">
        <v>4.4160000000000004</v>
      </c>
      <c r="AA456" s="104">
        <v>16.38</v>
      </c>
      <c r="AB456" s="75">
        <v>16.46</v>
      </c>
      <c r="AC456" s="75">
        <v>16.53</v>
      </c>
      <c r="AD456" s="75">
        <v>2.8519999999999999</v>
      </c>
      <c r="AE456" s="75">
        <v>2.5430000000000001</v>
      </c>
      <c r="AF456" s="105">
        <v>2.2669999999999999</v>
      </c>
    </row>
    <row r="457" spans="2:32" x14ac:dyDescent="0.3">
      <c r="B457" s="111">
        <v>75.333333333333286</v>
      </c>
      <c r="C457" s="104">
        <v>16.579999999999998</v>
      </c>
      <c r="D457" s="75">
        <v>16.690000000000001</v>
      </c>
      <c r="E457" s="75">
        <v>16.760000000000002</v>
      </c>
      <c r="F457" s="75">
        <v>1.601</v>
      </c>
      <c r="G457" s="75">
        <v>1.1020000000000001</v>
      </c>
      <c r="H457" s="105">
        <v>1.456</v>
      </c>
      <c r="I457" s="104">
        <v>16.47</v>
      </c>
      <c r="J457" s="75">
        <v>16.57</v>
      </c>
      <c r="K457" s="75">
        <v>16.600000000000001</v>
      </c>
      <c r="L457" s="75">
        <v>2.6469999999999998</v>
      </c>
      <c r="M457" s="75">
        <v>2.073</v>
      </c>
      <c r="N457" s="105">
        <v>2.4159999999999999</v>
      </c>
      <c r="O457" s="104">
        <v>11.61</v>
      </c>
      <c r="P457" s="75">
        <v>11.59</v>
      </c>
      <c r="Q457" s="75">
        <v>11.62</v>
      </c>
      <c r="R457" s="75">
        <v>2.2669999999999999</v>
      </c>
      <c r="S457" s="75">
        <v>2.1589999999999998</v>
      </c>
      <c r="T457" s="105">
        <v>2.2080000000000002</v>
      </c>
      <c r="U457" s="104">
        <v>11.91</v>
      </c>
      <c r="V457" s="75">
        <v>11.88</v>
      </c>
      <c r="W457" s="75">
        <v>11.85</v>
      </c>
      <c r="X457" s="75">
        <v>5.0359999999999996</v>
      </c>
      <c r="Y457" s="75">
        <v>4.9279999999999999</v>
      </c>
      <c r="Z457" s="105">
        <v>4.3689999999999998</v>
      </c>
      <c r="AA457" s="104">
        <v>16.45</v>
      </c>
      <c r="AB457" s="75">
        <v>16.53</v>
      </c>
      <c r="AC457" s="75">
        <v>16.600000000000001</v>
      </c>
      <c r="AD457" s="75">
        <v>2.8119999999999998</v>
      </c>
      <c r="AE457" s="75">
        <v>2.5419999999999998</v>
      </c>
      <c r="AF457" s="105">
        <v>2.5150000000000001</v>
      </c>
    </row>
    <row r="458" spans="2:32" x14ac:dyDescent="0.3">
      <c r="B458" s="111">
        <v>75.499999999999957</v>
      </c>
      <c r="C458" s="104">
        <v>16.649999999999999</v>
      </c>
      <c r="D458" s="75">
        <v>16.78</v>
      </c>
      <c r="E458" s="75">
        <v>16.850000000000001</v>
      </c>
      <c r="F458" s="75">
        <v>1.6180000000000001</v>
      </c>
      <c r="G458" s="75">
        <v>1.6459999999999999</v>
      </c>
      <c r="H458" s="105">
        <v>1.6890000000000001</v>
      </c>
      <c r="I458" s="104">
        <v>16.55</v>
      </c>
      <c r="J458" s="75">
        <v>16.66</v>
      </c>
      <c r="K458" s="75">
        <v>16.690000000000001</v>
      </c>
      <c r="L458" s="75">
        <v>2.65</v>
      </c>
      <c r="M458" s="75">
        <v>2.2389999999999999</v>
      </c>
      <c r="N458" s="105">
        <v>2.8460000000000001</v>
      </c>
      <c r="O458" s="104">
        <v>11.68</v>
      </c>
      <c r="P458" s="75">
        <v>11.66</v>
      </c>
      <c r="Q458" s="75">
        <v>11.69</v>
      </c>
      <c r="R458" s="75">
        <v>2.2149999999999999</v>
      </c>
      <c r="S458" s="75">
        <v>2.25</v>
      </c>
      <c r="T458" s="105">
        <v>2.2269999999999999</v>
      </c>
      <c r="U458" s="104">
        <v>11.98</v>
      </c>
      <c r="V458" s="75">
        <v>11.95</v>
      </c>
      <c r="W458" s="75">
        <v>11.92</v>
      </c>
      <c r="X458" s="75">
        <v>4.9909999999999997</v>
      </c>
      <c r="Y458" s="75">
        <v>4.9989999999999997</v>
      </c>
      <c r="Z458" s="105">
        <v>4.3540000000000001</v>
      </c>
      <c r="AA458" s="104">
        <v>16.52</v>
      </c>
      <c r="AB458" s="75">
        <v>16.63</v>
      </c>
      <c r="AC458" s="75">
        <v>16.690000000000001</v>
      </c>
      <c r="AD458" s="75">
        <v>2.8439999999999999</v>
      </c>
      <c r="AE458" s="75">
        <v>3.1379999999999999</v>
      </c>
      <c r="AF458" s="105">
        <v>2.6480000000000001</v>
      </c>
    </row>
    <row r="459" spans="2:32" x14ac:dyDescent="0.3">
      <c r="B459" s="111">
        <v>75.666666666666629</v>
      </c>
      <c r="C459" s="104">
        <v>16.73</v>
      </c>
      <c r="D459" s="75">
        <v>16.86</v>
      </c>
      <c r="E459" s="75">
        <v>16.93</v>
      </c>
      <c r="F459" s="75">
        <v>1.619</v>
      </c>
      <c r="G459" s="75">
        <v>1.698</v>
      </c>
      <c r="H459" s="105">
        <v>1.44</v>
      </c>
      <c r="I459" s="104">
        <v>16.63</v>
      </c>
      <c r="J459" s="75">
        <v>16.739999999999998</v>
      </c>
      <c r="K459" s="75">
        <v>16.77</v>
      </c>
      <c r="L459" s="75">
        <v>2.6629999999999998</v>
      </c>
      <c r="M459" s="75">
        <v>2.7610000000000001</v>
      </c>
      <c r="N459" s="105">
        <v>3.141</v>
      </c>
      <c r="O459" s="104">
        <v>11.75</v>
      </c>
      <c r="P459" s="75">
        <v>11.73</v>
      </c>
      <c r="Q459" s="75">
        <v>11.77</v>
      </c>
      <c r="R459" s="75">
        <v>2.1930000000000001</v>
      </c>
      <c r="S459" s="75">
        <v>2.2269999999999999</v>
      </c>
      <c r="T459" s="105">
        <v>2.1429999999999998</v>
      </c>
      <c r="U459" s="104">
        <v>12.04</v>
      </c>
      <c r="V459" s="75">
        <v>12.02</v>
      </c>
      <c r="W459" s="75">
        <v>11.99</v>
      </c>
      <c r="X459" s="75">
        <v>4.8940000000000001</v>
      </c>
      <c r="Y459" s="75">
        <v>4.9560000000000004</v>
      </c>
      <c r="Z459" s="105">
        <v>4.2629999999999999</v>
      </c>
      <c r="AA459" s="104">
        <v>16.600000000000001</v>
      </c>
      <c r="AB459" s="75">
        <v>16.71</v>
      </c>
      <c r="AC459" s="75">
        <v>16.77</v>
      </c>
      <c r="AD459" s="75">
        <v>2.8450000000000002</v>
      </c>
      <c r="AE459" s="75">
        <v>3.1469999999999998</v>
      </c>
      <c r="AF459" s="105">
        <v>2.395</v>
      </c>
    </row>
    <row r="460" spans="2:32" x14ac:dyDescent="0.3">
      <c r="B460" s="111">
        <v>75.8333333333333</v>
      </c>
      <c r="C460" s="104">
        <v>16.829999999999998</v>
      </c>
      <c r="D460" s="75">
        <v>16.940000000000001</v>
      </c>
      <c r="E460" s="75">
        <v>17</v>
      </c>
      <c r="F460" s="75">
        <v>1.2589999999999999</v>
      </c>
      <c r="G460" s="75">
        <v>1.3740000000000001</v>
      </c>
      <c r="H460" s="105">
        <v>1.5860000000000001</v>
      </c>
      <c r="I460" s="104">
        <v>16.73</v>
      </c>
      <c r="J460" s="75">
        <v>16.82</v>
      </c>
      <c r="K460" s="75">
        <v>16.86</v>
      </c>
      <c r="L460" s="75">
        <v>2.6869999999999998</v>
      </c>
      <c r="M460" s="75">
        <v>2.8330000000000002</v>
      </c>
      <c r="N460" s="105">
        <v>2.883</v>
      </c>
      <c r="O460" s="104">
        <v>11.82</v>
      </c>
      <c r="P460" s="75">
        <v>11.81</v>
      </c>
      <c r="Q460" s="75">
        <v>11.84</v>
      </c>
      <c r="R460" s="75">
        <v>2.0230000000000001</v>
      </c>
      <c r="S460" s="75">
        <v>2.254</v>
      </c>
      <c r="T460" s="105">
        <v>2.222</v>
      </c>
      <c r="U460" s="104">
        <v>12.1</v>
      </c>
      <c r="V460" s="75">
        <v>12.09</v>
      </c>
      <c r="W460" s="75">
        <v>12.06</v>
      </c>
      <c r="X460" s="75">
        <v>4.718</v>
      </c>
      <c r="Y460" s="75">
        <v>4.9850000000000003</v>
      </c>
      <c r="Z460" s="105">
        <v>4.3319999999999999</v>
      </c>
      <c r="AA460" s="104">
        <v>16.7</v>
      </c>
      <c r="AB460" s="75">
        <v>16.79</v>
      </c>
      <c r="AC460" s="75">
        <v>16.850000000000001</v>
      </c>
      <c r="AD460" s="75">
        <v>2.5819999999999999</v>
      </c>
      <c r="AE460" s="75">
        <v>2.794</v>
      </c>
      <c r="AF460" s="105">
        <v>2.5139999999999998</v>
      </c>
    </row>
    <row r="461" spans="2:32" x14ac:dyDescent="0.3">
      <c r="B461" s="111">
        <v>75.999999999999972</v>
      </c>
      <c r="C461" s="104">
        <v>16.93</v>
      </c>
      <c r="D461" s="75">
        <v>17.02</v>
      </c>
      <c r="E461" s="75">
        <v>17.07</v>
      </c>
      <c r="F461" s="75">
        <v>0.67800000000000005</v>
      </c>
      <c r="G461" s="75">
        <v>1.3240000000000001</v>
      </c>
      <c r="H461" s="105">
        <v>1.496</v>
      </c>
      <c r="I461" s="104">
        <v>16.829999999999998</v>
      </c>
      <c r="J461" s="75">
        <v>16.899999999999999</v>
      </c>
      <c r="K461" s="75">
        <v>16.920000000000002</v>
      </c>
      <c r="L461" s="75">
        <v>2.319</v>
      </c>
      <c r="M461" s="75">
        <v>2.3340000000000001</v>
      </c>
      <c r="N461" s="105">
        <v>3.133</v>
      </c>
      <c r="O461" s="104">
        <v>11.88</v>
      </c>
      <c r="P461" s="75">
        <v>11.88</v>
      </c>
      <c r="Q461" s="75">
        <v>11.9</v>
      </c>
      <c r="R461" s="75">
        <v>2.1659999999999999</v>
      </c>
      <c r="S461" s="75">
        <v>2.1120000000000001</v>
      </c>
      <c r="T461" s="105">
        <v>2.0840000000000001</v>
      </c>
      <c r="U461" s="104">
        <v>12.17</v>
      </c>
      <c r="V461" s="75">
        <v>12.16</v>
      </c>
      <c r="W461" s="75">
        <v>12.13</v>
      </c>
      <c r="X461" s="75">
        <v>4.8600000000000003</v>
      </c>
      <c r="Y461" s="75">
        <v>4.7869999999999999</v>
      </c>
      <c r="Z461" s="105">
        <v>4.18</v>
      </c>
      <c r="AA461" s="104">
        <v>16.79</v>
      </c>
      <c r="AB461" s="75">
        <v>16.87</v>
      </c>
      <c r="AC461" s="75">
        <v>16.920000000000002</v>
      </c>
      <c r="AD461" s="75">
        <v>2.1259999999999999</v>
      </c>
      <c r="AE461" s="75">
        <v>2.7309999999999999</v>
      </c>
      <c r="AF461" s="105">
        <v>2.3239999999999998</v>
      </c>
    </row>
    <row r="462" spans="2:32" x14ac:dyDescent="0.3">
      <c r="B462" s="111">
        <v>76.166666666666643</v>
      </c>
      <c r="C462" s="104">
        <v>17.04</v>
      </c>
      <c r="D462" s="75">
        <v>17.09</v>
      </c>
      <c r="E462" s="75">
        <v>17.14</v>
      </c>
      <c r="F462" s="75">
        <v>0.70899999999999996</v>
      </c>
      <c r="G462" s="75">
        <v>1.3560000000000001</v>
      </c>
      <c r="H462" s="105">
        <v>1.415</v>
      </c>
      <c r="I462" s="104">
        <v>16.93</v>
      </c>
      <c r="J462" s="75">
        <v>16.97</v>
      </c>
      <c r="K462" s="75">
        <v>16.989999999999998</v>
      </c>
      <c r="L462" s="75">
        <v>1.708</v>
      </c>
      <c r="M462" s="75">
        <v>2.37</v>
      </c>
      <c r="N462" s="105">
        <v>2.581</v>
      </c>
      <c r="O462" s="104">
        <v>11.96</v>
      </c>
      <c r="P462" s="75">
        <v>11.95</v>
      </c>
      <c r="Q462" s="75">
        <v>11.98</v>
      </c>
      <c r="R462" s="75">
        <v>2.2829999999999999</v>
      </c>
      <c r="S462" s="75">
        <v>2.2400000000000002</v>
      </c>
      <c r="T462" s="105">
        <v>2.331</v>
      </c>
      <c r="U462" s="104">
        <v>12.24</v>
      </c>
      <c r="V462" s="75">
        <v>12.23</v>
      </c>
      <c r="W462" s="75">
        <v>12.2</v>
      </c>
      <c r="X462" s="75">
        <v>4.9640000000000004</v>
      </c>
      <c r="Y462" s="75">
        <v>4.8819999999999997</v>
      </c>
      <c r="Z462" s="105">
        <v>4.4210000000000003</v>
      </c>
      <c r="AA462" s="104">
        <v>16.899999999999999</v>
      </c>
      <c r="AB462" s="75">
        <v>16.940000000000001</v>
      </c>
      <c r="AC462" s="75">
        <v>16.98</v>
      </c>
      <c r="AD462" s="75">
        <v>2.2759999999999998</v>
      </c>
      <c r="AE462" s="75">
        <v>2.7549999999999999</v>
      </c>
      <c r="AF462" s="105">
        <v>2.274</v>
      </c>
    </row>
    <row r="463" spans="2:32" x14ac:dyDescent="0.3">
      <c r="B463" s="111">
        <v>76.333333333333314</v>
      </c>
      <c r="C463" s="104">
        <v>17.12</v>
      </c>
      <c r="D463" s="75">
        <v>17.16</v>
      </c>
      <c r="E463" s="75">
        <v>17.21</v>
      </c>
      <c r="F463" s="75">
        <v>0.69499999999999995</v>
      </c>
      <c r="G463" s="75">
        <v>1.385</v>
      </c>
      <c r="H463" s="105">
        <v>1.4730000000000001</v>
      </c>
      <c r="I463" s="104">
        <v>17.010000000000002</v>
      </c>
      <c r="J463" s="75">
        <v>17.04</v>
      </c>
      <c r="K463" s="75">
        <v>17.07</v>
      </c>
      <c r="L463" s="75">
        <v>1.635</v>
      </c>
      <c r="M463" s="75">
        <v>2.44</v>
      </c>
      <c r="N463" s="105">
        <v>2.7309999999999999</v>
      </c>
      <c r="O463" s="104">
        <v>12.02</v>
      </c>
      <c r="P463" s="75">
        <v>12.02</v>
      </c>
      <c r="Q463" s="75">
        <v>12.05</v>
      </c>
      <c r="R463" s="75">
        <v>2.0939999999999999</v>
      </c>
      <c r="S463" s="75">
        <v>2.1030000000000002</v>
      </c>
      <c r="T463" s="105">
        <v>2.1880000000000002</v>
      </c>
      <c r="U463" s="104">
        <v>12.3</v>
      </c>
      <c r="V463" s="75">
        <v>12.29</v>
      </c>
      <c r="W463" s="75">
        <v>12.27</v>
      </c>
      <c r="X463" s="75">
        <v>4.7220000000000004</v>
      </c>
      <c r="Y463" s="75">
        <v>4.6500000000000004</v>
      </c>
      <c r="Z463" s="105">
        <v>4.2309999999999999</v>
      </c>
      <c r="AA463" s="104">
        <v>16.97</v>
      </c>
      <c r="AB463" s="75">
        <v>17.010000000000002</v>
      </c>
      <c r="AC463" s="75">
        <v>17.059999999999999</v>
      </c>
      <c r="AD463" s="75">
        <v>2.2090000000000001</v>
      </c>
      <c r="AE463" s="75">
        <v>2.78</v>
      </c>
      <c r="AF463" s="105">
        <v>2.2799999999999998</v>
      </c>
    </row>
    <row r="464" spans="2:32" x14ac:dyDescent="0.3">
      <c r="B464" s="111">
        <v>76.499999999999986</v>
      </c>
      <c r="C464" s="104">
        <v>17.18</v>
      </c>
      <c r="D464" s="75">
        <v>17.23</v>
      </c>
      <c r="E464" s="75">
        <v>17.29</v>
      </c>
      <c r="F464" s="75">
        <v>0.50600000000000001</v>
      </c>
      <c r="G464" s="75">
        <v>1.321</v>
      </c>
      <c r="H464" s="105">
        <v>1.6220000000000001</v>
      </c>
      <c r="I464" s="104">
        <v>17.07</v>
      </c>
      <c r="J464" s="75">
        <v>17.100000000000001</v>
      </c>
      <c r="K464" s="75">
        <v>17.13</v>
      </c>
      <c r="L464" s="75">
        <v>1.5780000000000001</v>
      </c>
      <c r="M464" s="75">
        <v>2.363</v>
      </c>
      <c r="N464" s="105">
        <v>2.6920000000000002</v>
      </c>
      <c r="O464" s="104">
        <v>12.09</v>
      </c>
      <c r="P464" s="75">
        <v>12.09</v>
      </c>
      <c r="Q464" s="75">
        <v>12.14</v>
      </c>
      <c r="R464" s="75">
        <v>2.3170000000000002</v>
      </c>
      <c r="S464" s="75">
        <v>2.375</v>
      </c>
      <c r="T464" s="105">
        <v>2.61</v>
      </c>
      <c r="U464" s="104">
        <v>12.37</v>
      </c>
      <c r="V464" s="75">
        <v>12.36</v>
      </c>
      <c r="W464" s="75">
        <v>12.36</v>
      </c>
      <c r="X464" s="75">
        <v>4.9589999999999996</v>
      </c>
      <c r="Y464" s="75">
        <v>4.9870000000000001</v>
      </c>
      <c r="Z464" s="105">
        <v>4.6779999999999999</v>
      </c>
      <c r="AA464" s="104">
        <v>17.03</v>
      </c>
      <c r="AB464" s="75">
        <v>17.079999999999998</v>
      </c>
      <c r="AC464" s="75">
        <v>17.14</v>
      </c>
      <c r="AD464" s="75">
        <v>1.9490000000000001</v>
      </c>
      <c r="AE464" s="75">
        <v>2.6930000000000001</v>
      </c>
      <c r="AF464" s="105">
        <v>2.3959999999999999</v>
      </c>
    </row>
    <row r="465" spans="2:32" x14ac:dyDescent="0.3">
      <c r="B465" s="111">
        <v>76.666666666666657</v>
      </c>
      <c r="C465" s="104">
        <v>17.239999999999998</v>
      </c>
      <c r="D465" s="75">
        <v>17.3</v>
      </c>
      <c r="E465" s="75">
        <v>17.36</v>
      </c>
      <c r="F465" s="75">
        <v>0.71899999999999997</v>
      </c>
      <c r="G465" s="75">
        <v>1.1890000000000001</v>
      </c>
      <c r="H465" s="105">
        <v>1.571</v>
      </c>
      <c r="I465" s="104">
        <v>17.13</v>
      </c>
      <c r="J465" s="75">
        <v>17.18</v>
      </c>
      <c r="K465" s="75">
        <v>17.2</v>
      </c>
      <c r="L465" s="75">
        <v>1.292</v>
      </c>
      <c r="M465" s="75">
        <v>2.1970000000000001</v>
      </c>
      <c r="N465" s="105">
        <v>2.5230000000000001</v>
      </c>
      <c r="O465" s="104">
        <v>12.18</v>
      </c>
      <c r="P465" s="75">
        <v>12.18</v>
      </c>
      <c r="Q465" s="75">
        <v>12.22</v>
      </c>
      <c r="R465" s="75">
        <v>2.7280000000000002</v>
      </c>
      <c r="S465" s="75">
        <v>2.613</v>
      </c>
      <c r="T465" s="105">
        <v>2.6120000000000001</v>
      </c>
      <c r="U465" s="104">
        <v>12.45</v>
      </c>
      <c r="V465" s="75">
        <v>12.44</v>
      </c>
      <c r="W465" s="75">
        <v>12.43</v>
      </c>
      <c r="X465" s="75">
        <v>5.3659999999999997</v>
      </c>
      <c r="Y465" s="75">
        <v>5.2</v>
      </c>
      <c r="Z465" s="105">
        <v>4.6420000000000003</v>
      </c>
      <c r="AA465" s="104">
        <v>17.09</v>
      </c>
      <c r="AB465" s="75">
        <v>17.16</v>
      </c>
      <c r="AC465" s="75">
        <v>17.21</v>
      </c>
      <c r="AD465" s="75">
        <v>2.1349999999999998</v>
      </c>
      <c r="AE465" s="75">
        <v>2.5510000000000002</v>
      </c>
      <c r="AF465" s="105">
        <v>2.3929999999999998</v>
      </c>
    </row>
    <row r="466" spans="2:32" x14ac:dyDescent="0.3">
      <c r="B466" s="111">
        <v>76.833333333333329</v>
      </c>
      <c r="C466" s="104">
        <v>17.309999999999999</v>
      </c>
      <c r="D466" s="75">
        <v>17.38</v>
      </c>
      <c r="E466" s="75">
        <v>17.43</v>
      </c>
      <c r="F466" s="75">
        <v>0.95399999999999996</v>
      </c>
      <c r="G466" s="75">
        <v>1.3959999999999999</v>
      </c>
      <c r="H466" s="105">
        <v>1.54</v>
      </c>
      <c r="I466" s="104">
        <v>17.190000000000001</v>
      </c>
      <c r="J466" s="75">
        <v>17.260000000000002</v>
      </c>
      <c r="K466" s="75">
        <v>17.28</v>
      </c>
      <c r="L466" s="75">
        <v>1.5860000000000001</v>
      </c>
      <c r="M466" s="75">
        <v>2.153</v>
      </c>
      <c r="N466" s="105">
        <v>2.9929999999999999</v>
      </c>
      <c r="O466" s="104">
        <v>12.26</v>
      </c>
      <c r="P466" s="75">
        <v>12.26</v>
      </c>
      <c r="Q466" s="75">
        <v>12.3</v>
      </c>
      <c r="R466" s="75">
        <v>2.762</v>
      </c>
      <c r="S466" s="75">
        <v>2.5819999999999999</v>
      </c>
      <c r="T466" s="105">
        <v>2.3929999999999998</v>
      </c>
      <c r="U466" s="104">
        <v>12.53</v>
      </c>
      <c r="V466" s="75">
        <v>12.53</v>
      </c>
      <c r="W466" s="75">
        <v>12.51</v>
      </c>
      <c r="X466" s="75">
        <v>5.4050000000000002</v>
      </c>
      <c r="Y466" s="75">
        <v>5.1539999999999999</v>
      </c>
      <c r="Z466" s="105">
        <v>4.3609999999999998</v>
      </c>
      <c r="AA466" s="104">
        <v>17.16</v>
      </c>
      <c r="AB466" s="75">
        <v>17.23</v>
      </c>
      <c r="AC466" s="75">
        <v>17.29</v>
      </c>
      <c r="AD466" s="75">
        <v>2.331</v>
      </c>
      <c r="AE466" s="75">
        <v>2.7850000000000001</v>
      </c>
      <c r="AF466" s="105">
        <v>2.347</v>
      </c>
    </row>
    <row r="467" spans="2:32" x14ac:dyDescent="0.3">
      <c r="B467" s="111">
        <v>77</v>
      </c>
      <c r="C467" s="104">
        <v>17.37</v>
      </c>
      <c r="D467" s="75">
        <v>17.440000000000001</v>
      </c>
      <c r="E467" s="75">
        <v>17.5</v>
      </c>
      <c r="F467" s="75">
        <v>1.073</v>
      </c>
      <c r="G467" s="75">
        <v>1.2070000000000001</v>
      </c>
      <c r="H467" s="105">
        <v>1.3640000000000001</v>
      </c>
      <c r="I467" s="104">
        <v>17.260000000000002</v>
      </c>
      <c r="J467" s="75">
        <v>17.32</v>
      </c>
      <c r="K467" s="75">
        <v>17.34</v>
      </c>
      <c r="L467" s="75">
        <v>1.8260000000000001</v>
      </c>
      <c r="M467" s="75">
        <v>2.3889999999999998</v>
      </c>
      <c r="N467" s="105">
        <v>2.915</v>
      </c>
      <c r="O467" s="104">
        <v>12.34</v>
      </c>
      <c r="P467" s="75">
        <v>12.34</v>
      </c>
      <c r="Q467" s="75">
        <v>12.36</v>
      </c>
      <c r="R467" s="75">
        <v>2.61</v>
      </c>
      <c r="S467" s="75">
        <v>2.5459999999999998</v>
      </c>
      <c r="T467" s="105">
        <v>2.2799999999999998</v>
      </c>
      <c r="U467" s="104">
        <v>12.61</v>
      </c>
      <c r="V467" s="75">
        <v>12.6</v>
      </c>
      <c r="W467" s="75">
        <v>12.58</v>
      </c>
      <c r="X467" s="75">
        <v>5.1379999999999999</v>
      </c>
      <c r="Y467" s="75">
        <v>5.0330000000000004</v>
      </c>
      <c r="Z467" s="105">
        <v>4.226</v>
      </c>
      <c r="AA467" s="104">
        <v>17.23</v>
      </c>
      <c r="AB467" s="75">
        <v>17.3</v>
      </c>
      <c r="AC467" s="75">
        <v>17.350000000000001</v>
      </c>
      <c r="AD467" s="75">
        <v>2.4580000000000002</v>
      </c>
      <c r="AE467" s="75">
        <v>2.605</v>
      </c>
      <c r="AF467" s="105">
        <v>1.93</v>
      </c>
    </row>
    <row r="468" spans="2:32" x14ac:dyDescent="0.3">
      <c r="B468" s="111">
        <v>77.166666666666671</v>
      </c>
      <c r="C468" s="104">
        <v>17.440000000000001</v>
      </c>
      <c r="D468" s="75">
        <v>17.510000000000002</v>
      </c>
      <c r="E468" s="75">
        <v>17.559999999999999</v>
      </c>
      <c r="F468" s="75">
        <v>1.05</v>
      </c>
      <c r="G468" s="75">
        <v>1.3140000000000001</v>
      </c>
      <c r="H468" s="105">
        <v>1.486</v>
      </c>
      <c r="I468" s="104">
        <v>17.329999999999998</v>
      </c>
      <c r="J468" s="75">
        <v>17.39</v>
      </c>
      <c r="K468" s="75">
        <v>17.399999999999999</v>
      </c>
      <c r="L468" s="75">
        <v>2.0609999999999999</v>
      </c>
      <c r="M468" s="75">
        <v>2.2749999999999999</v>
      </c>
      <c r="N468" s="105">
        <v>2.0209999999999999</v>
      </c>
      <c r="O468" s="104">
        <v>12.41</v>
      </c>
      <c r="P468" s="75">
        <v>12.41</v>
      </c>
      <c r="Q468" s="75">
        <v>12.44</v>
      </c>
      <c r="R468" s="75">
        <v>2.5030000000000001</v>
      </c>
      <c r="S468" s="75">
        <v>2.556</v>
      </c>
      <c r="T468" s="105">
        <v>2.2989999999999999</v>
      </c>
      <c r="U468" s="104">
        <v>12.68</v>
      </c>
      <c r="V468" s="75">
        <v>12.68</v>
      </c>
      <c r="W468" s="75">
        <v>12.65</v>
      </c>
      <c r="X468" s="75">
        <v>4.9889999999999999</v>
      </c>
      <c r="Y468" s="75">
        <v>4.9720000000000004</v>
      </c>
      <c r="Z468" s="105">
        <v>4.1760000000000002</v>
      </c>
      <c r="AA468" s="104">
        <v>17.3</v>
      </c>
      <c r="AB468" s="75">
        <v>17.37</v>
      </c>
      <c r="AC468" s="75">
        <v>17.420000000000002</v>
      </c>
      <c r="AD468" s="75">
        <v>2.42</v>
      </c>
      <c r="AE468" s="75">
        <v>2.6520000000000001</v>
      </c>
      <c r="AF468" s="105">
        <v>2.0960000000000001</v>
      </c>
    </row>
    <row r="469" spans="2:32" x14ac:dyDescent="0.3">
      <c r="B469" s="111">
        <v>77.333333333333343</v>
      </c>
      <c r="C469" s="104">
        <v>17.510000000000002</v>
      </c>
      <c r="D469" s="75">
        <v>17.59</v>
      </c>
      <c r="E469" s="75">
        <v>17.63</v>
      </c>
      <c r="F469" s="75">
        <v>0.88200000000000001</v>
      </c>
      <c r="G469" s="75">
        <v>1.18</v>
      </c>
      <c r="H469" s="105">
        <v>1.625</v>
      </c>
      <c r="I469" s="104">
        <v>17.399999999999999</v>
      </c>
      <c r="J469" s="75">
        <v>17.47</v>
      </c>
      <c r="K469" s="75">
        <v>17.46</v>
      </c>
      <c r="L469" s="75">
        <v>1.9910000000000001</v>
      </c>
      <c r="M469" s="75">
        <v>2.2109999999999999</v>
      </c>
      <c r="N469" s="105">
        <v>2.2170000000000001</v>
      </c>
      <c r="O469" s="104">
        <v>12.49</v>
      </c>
      <c r="P469" s="75">
        <v>12.49</v>
      </c>
      <c r="Q469" s="75">
        <v>12.51</v>
      </c>
      <c r="R469" s="75">
        <v>2.577</v>
      </c>
      <c r="S469" s="75">
        <v>2.5990000000000002</v>
      </c>
      <c r="T469" s="105">
        <v>2.4119999999999999</v>
      </c>
      <c r="U469" s="104">
        <v>12.75</v>
      </c>
      <c r="V469" s="75">
        <v>12.75</v>
      </c>
      <c r="W469" s="75">
        <v>12.72</v>
      </c>
      <c r="X469" s="75">
        <v>5.0449999999999999</v>
      </c>
      <c r="Y469" s="75">
        <v>5.024</v>
      </c>
      <c r="Z469" s="105">
        <v>4.2969999999999997</v>
      </c>
      <c r="AA469" s="104">
        <v>17.37</v>
      </c>
      <c r="AB469" s="75">
        <v>17.440000000000001</v>
      </c>
      <c r="AC469" s="75">
        <v>17.5</v>
      </c>
      <c r="AD469" s="75">
        <v>2.2229999999999999</v>
      </c>
      <c r="AE469" s="75">
        <v>2.5470000000000002</v>
      </c>
      <c r="AF469" s="105">
        <v>2.1429999999999998</v>
      </c>
    </row>
    <row r="470" spans="2:32" x14ac:dyDescent="0.3">
      <c r="B470" s="111">
        <v>77.500000000000014</v>
      </c>
      <c r="C470" s="104">
        <v>17.59</v>
      </c>
      <c r="D470" s="75">
        <v>17.66</v>
      </c>
      <c r="E470" s="75">
        <v>17.7</v>
      </c>
      <c r="F470" s="75">
        <v>1.212</v>
      </c>
      <c r="G470" s="75">
        <v>1.155</v>
      </c>
      <c r="H470" s="105">
        <v>1.5609999999999999</v>
      </c>
      <c r="I470" s="104">
        <v>17.47</v>
      </c>
      <c r="J470" s="75">
        <v>17.54</v>
      </c>
      <c r="K470" s="75">
        <v>17.52</v>
      </c>
      <c r="L470" s="75">
        <v>1.8</v>
      </c>
      <c r="M470" s="75">
        <v>2.1360000000000001</v>
      </c>
      <c r="N470" s="105">
        <v>2.238</v>
      </c>
      <c r="O470" s="104">
        <v>12.56</v>
      </c>
      <c r="P470" s="75">
        <v>12.56</v>
      </c>
      <c r="Q470" s="75">
        <v>12.58</v>
      </c>
      <c r="R470" s="75">
        <v>2.5129999999999999</v>
      </c>
      <c r="S470" s="75">
        <v>2.3359999999999999</v>
      </c>
      <c r="T470" s="105">
        <v>2.2890000000000001</v>
      </c>
      <c r="U470" s="104">
        <v>12.82</v>
      </c>
      <c r="V470" s="75">
        <v>12.82</v>
      </c>
      <c r="W470" s="75">
        <v>12.79</v>
      </c>
      <c r="X470" s="75">
        <v>4.9340000000000002</v>
      </c>
      <c r="Y470" s="75">
        <v>4.6829999999999998</v>
      </c>
      <c r="Z470" s="105">
        <v>4.1130000000000004</v>
      </c>
      <c r="AA470" s="104">
        <v>17.440000000000001</v>
      </c>
      <c r="AB470" s="75">
        <v>17.510000000000002</v>
      </c>
      <c r="AC470" s="75">
        <v>17.559999999999999</v>
      </c>
      <c r="AD470" s="75">
        <v>2.5830000000000002</v>
      </c>
      <c r="AE470" s="75">
        <v>2.4769999999999999</v>
      </c>
      <c r="AF470" s="105">
        <v>2.0790000000000002</v>
      </c>
    </row>
    <row r="471" spans="2:32" x14ac:dyDescent="0.3">
      <c r="B471" s="111">
        <v>77.666666666666686</v>
      </c>
      <c r="C471" s="104">
        <v>17.66</v>
      </c>
      <c r="D471" s="75">
        <v>17.73</v>
      </c>
      <c r="E471" s="75">
        <v>17.77</v>
      </c>
      <c r="F471" s="75">
        <v>1.242</v>
      </c>
      <c r="G471" s="75">
        <v>1.1839999999999999</v>
      </c>
      <c r="H471" s="105">
        <v>1.43</v>
      </c>
      <c r="I471" s="104">
        <v>17.55</v>
      </c>
      <c r="J471" s="75">
        <v>17.600000000000001</v>
      </c>
      <c r="K471" s="75">
        <v>17.59</v>
      </c>
      <c r="L471" s="75">
        <v>2.133</v>
      </c>
      <c r="M471" s="75">
        <v>1.9259999999999999</v>
      </c>
      <c r="N471" s="105">
        <v>2.1880000000000002</v>
      </c>
      <c r="O471" s="104">
        <v>12.63</v>
      </c>
      <c r="P471" s="75">
        <v>12.64</v>
      </c>
      <c r="Q471" s="75">
        <v>12.64</v>
      </c>
      <c r="R471" s="75">
        <v>2.69</v>
      </c>
      <c r="S471" s="75">
        <v>2.5070000000000001</v>
      </c>
      <c r="T471" s="105">
        <v>2.2559999999999998</v>
      </c>
      <c r="U471" s="104">
        <v>12.9</v>
      </c>
      <c r="V471" s="75">
        <v>12.9</v>
      </c>
      <c r="W471" s="75">
        <v>12.86</v>
      </c>
      <c r="X471" s="75">
        <v>5.0990000000000002</v>
      </c>
      <c r="Y471" s="75">
        <v>4.8620000000000001</v>
      </c>
      <c r="Z471" s="105">
        <v>4.0720000000000001</v>
      </c>
      <c r="AA471" s="104">
        <v>17.52</v>
      </c>
      <c r="AB471" s="75">
        <v>17.59</v>
      </c>
      <c r="AC471" s="75">
        <v>17.64</v>
      </c>
      <c r="AD471" s="75">
        <v>2.613</v>
      </c>
      <c r="AE471" s="75">
        <v>2.452</v>
      </c>
      <c r="AF471" s="105">
        <v>1.9370000000000001</v>
      </c>
    </row>
    <row r="472" spans="2:32" x14ac:dyDescent="0.3">
      <c r="B472" s="111">
        <v>77.833333333333357</v>
      </c>
      <c r="C472" s="104">
        <v>17.73</v>
      </c>
      <c r="D472" s="75">
        <v>17.809999999999999</v>
      </c>
      <c r="E472" s="75">
        <v>17.850000000000001</v>
      </c>
      <c r="F472" s="75">
        <v>1.1639999999999999</v>
      </c>
      <c r="G472" s="75">
        <v>1.2669999999999999</v>
      </c>
      <c r="H472" s="105">
        <v>1.4810000000000001</v>
      </c>
      <c r="I472" s="104">
        <v>17.61</v>
      </c>
      <c r="J472" s="75">
        <v>17.670000000000002</v>
      </c>
      <c r="K472" s="75">
        <v>17.670000000000002</v>
      </c>
      <c r="L472" s="75">
        <v>2.2050000000000001</v>
      </c>
      <c r="M472" s="75">
        <v>1.681</v>
      </c>
      <c r="N472" s="105">
        <v>2.3010000000000002</v>
      </c>
      <c r="O472" s="104">
        <v>12.71</v>
      </c>
      <c r="P472" s="75">
        <v>12.71</v>
      </c>
      <c r="Q472" s="75">
        <v>12.71</v>
      </c>
      <c r="R472" s="75">
        <v>2.4790000000000001</v>
      </c>
      <c r="S472" s="75">
        <v>2.5270000000000001</v>
      </c>
      <c r="T472" s="105">
        <v>2.2229999999999999</v>
      </c>
      <c r="U472" s="104">
        <v>12.97</v>
      </c>
      <c r="V472" s="75">
        <v>12.97</v>
      </c>
      <c r="W472" s="75">
        <v>12.92</v>
      </c>
      <c r="X472" s="75">
        <v>4.806</v>
      </c>
      <c r="Y472" s="75">
        <v>4.8310000000000004</v>
      </c>
      <c r="Z472" s="105">
        <v>3.9830000000000001</v>
      </c>
      <c r="AA472" s="104">
        <v>17.59</v>
      </c>
      <c r="AB472" s="75">
        <v>17.670000000000002</v>
      </c>
      <c r="AC472" s="75">
        <v>17.71</v>
      </c>
      <c r="AD472" s="75">
        <v>2.504</v>
      </c>
      <c r="AE472" s="75">
        <v>2.4689999999999999</v>
      </c>
      <c r="AF472" s="105">
        <v>1.9990000000000001</v>
      </c>
    </row>
    <row r="473" spans="2:32" x14ac:dyDescent="0.3">
      <c r="B473" s="111">
        <v>78.000000000000028</v>
      </c>
      <c r="C473" s="104">
        <v>17.8</v>
      </c>
      <c r="D473" s="75">
        <v>17.88</v>
      </c>
      <c r="E473" s="75">
        <v>17.93</v>
      </c>
      <c r="F473" s="75">
        <v>1.107</v>
      </c>
      <c r="G473" s="75">
        <v>1.165</v>
      </c>
      <c r="H473" s="105">
        <v>1.738</v>
      </c>
      <c r="I473" s="104">
        <v>17.690000000000001</v>
      </c>
      <c r="J473" s="75">
        <v>17.739999999999998</v>
      </c>
      <c r="K473" s="75">
        <v>17.739999999999998</v>
      </c>
      <c r="L473" s="75">
        <v>2.173</v>
      </c>
      <c r="M473" s="75">
        <v>1.7350000000000001</v>
      </c>
      <c r="N473" s="105">
        <v>2.7989999999999999</v>
      </c>
      <c r="O473" s="104">
        <v>12.77</v>
      </c>
      <c r="P473" s="75">
        <v>12.78</v>
      </c>
      <c r="Q473" s="75">
        <v>12.78</v>
      </c>
      <c r="R473" s="75">
        <v>2.4740000000000002</v>
      </c>
      <c r="S473" s="75">
        <v>2.4710000000000001</v>
      </c>
      <c r="T473" s="105">
        <v>2.3519999999999999</v>
      </c>
      <c r="U473" s="104">
        <v>13.03</v>
      </c>
      <c r="V473" s="75">
        <v>13.04</v>
      </c>
      <c r="W473" s="75">
        <v>12.99</v>
      </c>
      <c r="X473" s="75">
        <v>4.74</v>
      </c>
      <c r="Y473" s="75">
        <v>4.7789999999999999</v>
      </c>
      <c r="Z473" s="105">
        <v>4.1399999999999997</v>
      </c>
      <c r="AA473" s="104">
        <v>17.66</v>
      </c>
      <c r="AB473" s="75">
        <v>17.739999999999998</v>
      </c>
      <c r="AC473" s="75">
        <v>17.79</v>
      </c>
      <c r="AD473" s="75">
        <v>2.4649999999999999</v>
      </c>
      <c r="AE473" s="75">
        <v>2.3410000000000002</v>
      </c>
      <c r="AF473" s="105">
        <v>2.27</v>
      </c>
    </row>
    <row r="474" spans="2:32" x14ac:dyDescent="0.3">
      <c r="B474" s="111">
        <v>78.1666666666667</v>
      </c>
      <c r="C474" s="104">
        <v>17.88</v>
      </c>
      <c r="D474" s="75">
        <v>17.940000000000001</v>
      </c>
      <c r="E474" s="75">
        <v>18.02</v>
      </c>
      <c r="F474" s="75">
        <v>1.044</v>
      </c>
      <c r="G474" s="75">
        <v>0.81899999999999995</v>
      </c>
      <c r="H474" s="105">
        <v>1.889</v>
      </c>
      <c r="I474" s="104">
        <v>17.760000000000002</v>
      </c>
      <c r="J474" s="75">
        <v>17.8</v>
      </c>
      <c r="K474" s="75">
        <v>17.84</v>
      </c>
      <c r="L474" s="75">
        <v>2.1339999999999999</v>
      </c>
      <c r="M474" s="75">
        <v>1.7889999999999999</v>
      </c>
      <c r="N474" s="105">
        <v>2.762</v>
      </c>
      <c r="O474" s="104">
        <v>12.85</v>
      </c>
      <c r="P474" s="75">
        <v>12.86</v>
      </c>
      <c r="Q474" s="75">
        <v>12.85</v>
      </c>
      <c r="R474" s="75">
        <v>2.4820000000000002</v>
      </c>
      <c r="S474" s="75">
        <v>2.492</v>
      </c>
      <c r="T474" s="105">
        <v>2.2949999999999999</v>
      </c>
      <c r="U474" s="104">
        <v>13.1</v>
      </c>
      <c r="V474" s="75">
        <v>13.12</v>
      </c>
      <c r="W474" s="75">
        <v>13.06</v>
      </c>
      <c r="X474" s="75">
        <v>4.7610000000000001</v>
      </c>
      <c r="Y474" s="75">
        <v>4.8019999999999996</v>
      </c>
      <c r="Z474" s="105">
        <v>4.0540000000000003</v>
      </c>
      <c r="AA474" s="104">
        <v>17.739999999999998</v>
      </c>
      <c r="AB474" s="75">
        <v>17.8</v>
      </c>
      <c r="AC474" s="75">
        <v>17.88</v>
      </c>
      <c r="AD474" s="75">
        <v>2.3769999999999998</v>
      </c>
      <c r="AE474" s="75">
        <v>1.909</v>
      </c>
      <c r="AF474" s="105">
        <v>2.3780000000000001</v>
      </c>
    </row>
    <row r="475" spans="2:32" x14ac:dyDescent="0.3">
      <c r="B475" s="111">
        <v>78.333333333333371</v>
      </c>
      <c r="C475" s="104">
        <v>17.96</v>
      </c>
      <c r="D475" s="75">
        <v>18.03</v>
      </c>
      <c r="E475" s="75">
        <v>18.100000000000001</v>
      </c>
      <c r="F475" s="75">
        <v>1.677</v>
      </c>
      <c r="G475" s="75">
        <v>1.639</v>
      </c>
      <c r="H475" s="105">
        <v>1.734</v>
      </c>
      <c r="I475" s="104">
        <v>17.84</v>
      </c>
      <c r="J475" s="75">
        <v>17.88</v>
      </c>
      <c r="K475" s="75">
        <v>17.93</v>
      </c>
      <c r="L475" s="75">
        <v>2.0150000000000001</v>
      </c>
      <c r="M475" s="75">
        <v>1.4710000000000001</v>
      </c>
      <c r="N475" s="105">
        <v>3.0329999999999999</v>
      </c>
      <c r="O475" s="104">
        <v>12.92</v>
      </c>
      <c r="P475" s="75">
        <v>12.94</v>
      </c>
      <c r="Q475" s="75">
        <v>12.92</v>
      </c>
      <c r="R475" s="75">
        <v>2.5779999999999998</v>
      </c>
      <c r="S475" s="75">
        <v>2.504</v>
      </c>
      <c r="T475" s="105">
        <v>2.3039999999999998</v>
      </c>
      <c r="U475" s="104">
        <v>13.17</v>
      </c>
      <c r="V475" s="75">
        <v>13.19</v>
      </c>
      <c r="W475" s="75">
        <v>13.12</v>
      </c>
      <c r="X475" s="75">
        <v>4.8780000000000001</v>
      </c>
      <c r="Y475" s="75">
        <v>4.7649999999999997</v>
      </c>
      <c r="Z475" s="105">
        <v>4.056</v>
      </c>
      <c r="AA475" s="104">
        <v>17.82</v>
      </c>
      <c r="AB475" s="75">
        <v>17.89</v>
      </c>
      <c r="AC475" s="75">
        <v>17.97</v>
      </c>
      <c r="AD475" s="75">
        <v>2.98</v>
      </c>
      <c r="AE475" s="75">
        <v>2.7410000000000001</v>
      </c>
      <c r="AF475" s="105">
        <v>2.1589999999999998</v>
      </c>
    </row>
    <row r="476" spans="2:32" x14ac:dyDescent="0.3">
      <c r="B476" s="111">
        <v>78.500000000000043</v>
      </c>
      <c r="C476" s="104">
        <v>18.05</v>
      </c>
      <c r="D476" s="75">
        <v>18.12</v>
      </c>
      <c r="E476" s="75">
        <v>18.18</v>
      </c>
      <c r="F476" s="75">
        <v>1.8480000000000001</v>
      </c>
      <c r="G476" s="75">
        <v>1.4610000000000001</v>
      </c>
      <c r="H476" s="105">
        <v>1.048</v>
      </c>
      <c r="I476" s="104">
        <v>17.93</v>
      </c>
      <c r="J476" s="75">
        <v>17.96</v>
      </c>
      <c r="K476" s="75">
        <v>18</v>
      </c>
      <c r="L476" s="75">
        <v>2.2730000000000001</v>
      </c>
      <c r="M476" s="75">
        <v>2.3479999999999999</v>
      </c>
      <c r="N476" s="105">
        <v>2.9710000000000001</v>
      </c>
      <c r="O476" s="104">
        <v>12.99</v>
      </c>
      <c r="P476" s="75">
        <v>13</v>
      </c>
      <c r="Q476" s="75">
        <v>12.99</v>
      </c>
      <c r="R476" s="75">
        <v>2.6230000000000002</v>
      </c>
      <c r="S476" s="75">
        <v>2.5070000000000001</v>
      </c>
      <c r="T476" s="105">
        <v>2.3639999999999999</v>
      </c>
      <c r="U476" s="104">
        <v>13.24</v>
      </c>
      <c r="V476" s="75">
        <v>13.26</v>
      </c>
      <c r="W476" s="75">
        <v>13.19</v>
      </c>
      <c r="X476" s="75">
        <v>4.8680000000000003</v>
      </c>
      <c r="Y476" s="75">
        <v>4.7649999999999997</v>
      </c>
      <c r="Z476" s="105">
        <v>4.077</v>
      </c>
      <c r="AA476" s="104">
        <v>17.920000000000002</v>
      </c>
      <c r="AB476" s="75">
        <v>17.97</v>
      </c>
      <c r="AC476" s="75">
        <v>18.04</v>
      </c>
      <c r="AD476" s="75">
        <v>3.1320000000000001</v>
      </c>
      <c r="AE476" s="75">
        <v>2.46</v>
      </c>
      <c r="AF476" s="105">
        <v>1.7170000000000001</v>
      </c>
    </row>
    <row r="477" spans="2:32" x14ac:dyDescent="0.3">
      <c r="B477" s="111">
        <v>78.666666666666714</v>
      </c>
      <c r="C477" s="104">
        <v>18.13</v>
      </c>
      <c r="D477" s="75">
        <v>18.21</v>
      </c>
      <c r="E477" s="75">
        <v>18.77</v>
      </c>
      <c r="F477" s="75">
        <v>1.097</v>
      </c>
      <c r="G477" s="75">
        <v>1.496</v>
      </c>
      <c r="H477" s="105">
        <v>1.4650000000000001</v>
      </c>
      <c r="I477" s="104">
        <v>18</v>
      </c>
      <c r="J477" s="75">
        <v>18.04</v>
      </c>
      <c r="K477" s="75">
        <v>18.510000000000002</v>
      </c>
      <c r="L477" s="75">
        <v>2.7610000000000001</v>
      </c>
      <c r="M477" s="75">
        <v>2.1379999999999999</v>
      </c>
      <c r="N477" s="105">
        <v>2.4569999999999999</v>
      </c>
      <c r="O477" s="104">
        <v>13.06</v>
      </c>
      <c r="P477" s="75">
        <v>13.07</v>
      </c>
      <c r="Q477" s="75">
        <v>13.06</v>
      </c>
      <c r="R477" s="75">
        <v>2.6930000000000001</v>
      </c>
      <c r="S477" s="75">
        <v>2.4540000000000002</v>
      </c>
      <c r="T477" s="105">
        <v>2.2690000000000001</v>
      </c>
      <c r="U477" s="104">
        <v>13.31</v>
      </c>
      <c r="V477" s="75">
        <v>13.32</v>
      </c>
      <c r="W477" s="75">
        <v>13.26</v>
      </c>
      <c r="X477" s="75">
        <v>4.968</v>
      </c>
      <c r="Y477" s="75">
        <v>4.681</v>
      </c>
      <c r="Z477" s="105">
        <v>4.008</v>
      </c>
      <c r="AA477" s="104">
        <v>17.989999999999998</v>
      </c>
      <c r="AB477" s="75">
        <v>18.059999999999999</v>
      </c>
      <c r="AC477" s="75">
        <v>18.63</v>
      </c>
      <c r="AD477" s="75">
        <v>2.3039999999999998</v>
      </c>
      <c r="AE477" s="75">
        <v>2.4820000000000002</v>
      </c>
      <c r="AF477" s="105">
        <v>1.8049999999999999</v>
      </c>
    </row>
    <row r="478" spans="2:32" x14ac:dyDescent="0.3">
      <c r="B478" s="111">
        <v>78.833333333333385</v>
      </c>
      <c r="C478" s="104">
        <v>18.2</v>
      </c>
      <c r="D478" s="75">
        <v>18.8</v>
      </c>
      <c r="E478" s="75">
        <v>19.37</v>
      </c>
      <c r="F478" s="75">
        <v>0.97199999999999998</v>
      </c>
      <c r="G478" s="75">
        <v>1.9670000000000001</v>
      </c>
      <c r="H478" s="105">
        <v>1.331</v>
      </c>
      <c r="I478" s="104">
        <v>18.07</v>
      </c>
      <c r="J478" s="75">
        <v>18.55</v>
      </c>
      <c r="K478" s="75">
        <v>19.09</v>
      </c>
      <c r="L478" s="75">
        <v>1.917</v>
      </c>
      <c r="M478" s="75">
        <v>2.351</v>
      </c>
      <c r="N478" s="105">
        <v>2.5779999999999998</v>
      </c>
      <c r="O478" s="104">
        <v>13.13</v>
      </c>
      <c r="P478" s="75">
        <v>13.14</v>
      </c>
      <c r="Q478" s="75">
        <v>13.13</v>
      </c>
      <c r="R478" s="75">
        <v>2.4860000000000002</v>
      </c>
      <c r="S478" s="75">
        <v>2.4870000000000001</v>
      </c>
      <c r="T478" s="105">
        <v>2.4359999999999999</v>
      </c>
      <c r="U478" s="104">
        <v>13.38</v>
      </c>
      <c r="V478" s="75">
        <v>13.39</v>
      </c>
      <c r="W478" s="75">
        <v>13.33</v>
      </c>
      <c r="X478" s="75">
        <v>4.7050000000000001</v>
      </c>
      <c r="Y478" s="75">
        <v>4.6680000000000001</v>
      </c>
      <c r="Z478" s="105">
        <v>4.149</v>
      </c>
      <c r="AA478" s="104">
        <v>18.07</v>
      </c>
      <c r="AB478" s="75">
        <v>18.649999999999999</v>
      </c>
      <c r="AC478" s="75">
        <v>19.260000000000002</v>
      </c>
      <c r="AD478" s="75">
        <v>2.1779999999999999</v>
      </c>
      <c r="AE478" s="75">
        <v>2.069</v>
      </c>
      <c r="AF478" s="105">
        <v>1.6279999999999999</v>
      </c>
    </row>
    <row r="479" spans="2:32" x14ac:dyDescent="0.3">
      <c r="B479" s="111">
        <v>79.000000000000057</v>
      </c>
      <c r="C479" s="104">
        <v>18.75</v>
      </c>
      <c r="D479" s="75">
        <v>19.399999999999999</v>
      </c>
      <c r="E479" s="75">
        <v>19.690000000000001</v>
      </c>
      <c r="F479" s="75">
        <v>1.1879999999999999</v>
      </c>
      <c r="G479" s="75">
        <v>1.079</v>
      </c>
      <c r="H479" s="105">
        <v>1.143</v>
      </c>
      <c r="I479" s="104">
        <v>18.53</v>
      </c>
      <c r="J479" s="75">
        <v>19.14</v>
      </c>
      <c r="K479" s="75">
        <v>19.440000000000001</v>
      </c>
      <c r="L479" s="75">
        <v>1.6759999999999999</v>
      </c>
      <c r="M479" s="75">
        <v>2.1949999999999998</v>
      </c>
      <c r="N479" s="105">
        <v>2.3820000000000001</v>
      </c>
      <c r="O479" s="104">
        <v>13.23</v>
      </c>
      <c r="P479" s="75">
        <v>13.24</v>
      </c>
      <c r="Q479" s="75">
        <v>13.21</v>
      </c>
      <c r="R479" s="75">
        <v>3.1789999999999998</v>
      </c>
      <c r="S479" s="75">
        <v>2.9449999999999998</v>
      </c>
      <c r="T479" s="105">
        <v>2.9020000000000001</v>
      </c>
      <c r="U479" s="104">
        <v>13.47</v>
      </c>
      <c r="V479" s="75">
        <v>13.48</v>
      </c>
      <c r="W479" s="75">
        <v>13.41</v>
      </c>
      <c r="X479" s="75">
        <v>5.5030000000000001</v>
      </c>
      <c r="Y479" s="75">
        <v>5.1609999999999996</v>
      </c>
      <c r="Z479" s="105">
        <v>4.6550000000000002</v>
      </c>
      <c r="AA479" s="104">
        <v>18.600000000000001</v>
      </c>
      <c r="AB479" s="75">
        <v>19.27</v>
      </c>
      <c r="AC479" s="75">
        <v>19.600000000000001</v>
      </c>
      <c r="AD479" s="75">
        <v>1.982</v>
      </c>
      <c r="AE479" s="75">
        <v>1.883</v>
      </c>
      <c r="AF479" s="105">
        <v>1.3180000000000001</v>
      </c>
    </row>
    <row r="480" spans="2:32" x14ac:dyDescent="0.3">
      <c r="B480" s="111">
        <v>79.166666666666728</v>
      </c>
      <c r="C480" s="104">
        <v>19.350000000000001</v>
      </c>
      <c r="D480" s="75">
        <v>19.72</v>
      </c>
      <c r="E480" s="75">
        <v>19.89</v>
      </c>
      <c r="F480" s="75">
        <v>0.82899999999999996</v>
      </c>
      <c r="G480" s="75">
        <v>0.871</v>
      </c>
      <c r="H480" s="105">
        <v>1.0620000000000001</v>
      </c>
      <c r="I480" s="104">
        <v>19.11</v>
      </c>
      <c r="J480" s="75">
        <v>19.489999999999998</v>
      </c>
      <c r="K480" s="75">
        <v>19.66</v>
      </c>
      <c r="L480" s="75">
        <v>1.958</v>
      </c>
      <c r="M480" s="75">
        <v>1.8759999999999999</v>
      </c>
      <c r="N480" s="105">
        <v>1.9390000000000001</v>
      </c>
      <c r="O480" s="104">
        <v>13.31</v>
      </c>
      <c r="P480" s="75">
        <v>13.32</v>
      </c>
      <c r="Q480" s="75">
        <v>13.3</v>
      </c>
      <c r="R480" s="75">
        <v>3.1</v>
      </c>
      <c r="S480" s="75">
        <v>2.931</v>
      </c>
      <c r="T480" s="105">
        <v>2.8159999999999998</v>
      </c>
      <c r="U480" s="104">
        <v>13.55</v>
      </c>
      <c r="V480" s="75">
        <v>13.56</v>
      </c>
      <c r="W480" s="75">
        <v>13.49</v>
      </c>
      <c r="X480" s="75">
        <v>5.3369999999999997</v>
      </c>
      <c r="Y480" s="75">
        <v>5.125</v>
      </c>
      <c r="Z480" s="105">
        <v>4.5430000000000001</v>
      </c>
      <c r="AA480" s="104">
        <v>19.239999999999998</v>
      </c>
      <c r="AB480" s="75">
        <v>19.62</v>
      </c>
      <c r="AC480" s="75">
        <v>19.8</v>
      </c>
      <c r="AD480" s="75">
        <v>1.849</v>
      </c>
      <c r="AE480" s="75">
        <v>1.583</v>
      </c>
      <c r="AF480" s="105">
        <v>1.274</v>
      </c>
    </row>
    <row r="481" spans="2:32" x14ac:dyDescent="0.3">
      <c r="B481" s="111">
        <v>79.3333333333334</v>
      </c>
      <c r="C481" s="104">
        <v>19.68</v>
      </c>
      <c r="D481" s="75">
        <v>19.920000000000002</v>
      </c>
      <c r="E481" s="75">
        <v>20.03</v>
      </c>
      <c r="F481" s="75">
        <v>0.75800000000000001</v>
      </c>
      <c r="G481" s="75">
        <v>0.77600000000000002</v>
      </c>
      <c r="H481" s="105">
        <v>0.92700000000000005</v>
      </c>
      <c r="I481" s="104">
        <v>19.47</v>
      </c>
      <c r="J481" s="75">
        <v>19.71</v>
      </c>
      <c r="K481" s="75">
        <v>19.82</v>
      </c>
      <c r="L481" s="75">
        <v>1.508</v>
      </c>
      <c r="M481" s="75">
        <v>1.6379999999999999</v>
      </c>
      <c r="N481" s="105">
        <v>1.9890000000000001</v>
      </c>
      <c r="O481" s="104">
        <v>13.39</v>
      </c>
      <c r="P481" s="75">
        <v>13.4</v>
      </c>
      <c r="Q481" s="75">
        <v>13.37</v>
      </c>
      <c r="R481" s="75">
        <v>2.9390000000000001</v>
      </c>
      <c r="S481" s="75">
        <v>2.7759999999999998</v>
      </c>
      <c r="T481" s="105">
        <v>2.7280000000000002</v>
      </c>
      <c r="U481" s="104">
        <v>13.63</v>
      </c>
      <c r="V481" s="75">
        <v>13.64</v>
      </c>
      <c r="W481" s="75">
        <v>13.57</v>
      </c>
      <c r="X481" s="75">
        <v>5.085</v>
      </c>
      <c r="Y481" s="75">
        <v>4.9329999999999998</v>
      </c>
      <c r="Z481" s="105">
        <v>4.4109999999999996</v>
      </c>
      <c r="AA481" s="104">
        <v>19.579999999999998</v>
      </c>
      <c r="AB481" s="75">
        <v>19.809999999999999</v>
      </c>
      <c r="AC481" s="75">
        <v>19.93</v>
      </c>
      <c r="AD481" s="75">
        <v>1.6850000000000001</v>
      </c>
      <c r="AE481" s="75">
        <v>1.296</v>
      </c>
      <c r="AF481" s="105">
        <v>1.097</v>
      </c>
    </row>
    <row r="482" spans="2:32" x14ac:dyDescent="0.3">
      <c r="B482" s="111">
        <v>79.500000000000071</v>
      </c>
      <c r="C482" s="104">
        <v>19.920000000000002</v>
      </c>
      <c r="D482" s="75">
        <v>20.04</v>
      </c>
      <c r="E482" s="75">
        <v>20.13</v>
      </c>
      <c r="F482" s="75">
        <v>0.14499999999999999</v>
      </c>
      <c r="G482" s="75">
        <v>0.45400000000000001</v>
      </c>
      <c r="H482" s="105">
        <v>0.77</v>
      </c>
      <c r="I482" s="104">
        <v>19.72</v>
      </c>
      <c r="J482" s="75">
        <v>19.84</v>
      </c>
      <c r="K482" s="75">
        <v>19.920000000000002</v>
      </c>
      <c r="L482" s="75">
        <v>1.423</v>
      </c>
      <c r="M482" s="75">
        <v>1.7410000000000001</v>
      </c>
      <c r="N482" s="105">
        <v>1.7929999999999999</v>
      </c>
      <c r="O482" s="104">
        <v>13.46</v>
      </c>
      <c r="P482" s="75">
        <v>13.47</v>
      </c>
      <c r="Q482" s="75">
        <v>13.46</v>
      </c>
      <c r="R482" s="75">
        <v>2.8109999999999999</v>
      </c>
      <c r="S482" s="75">
        <v>2.69</v>
      </c>
      <c r="T482" s="105">
        <v>2.6989999999999998</v>
      </c>
      <c r="U482" s="104">
        <v>13.7</v>
      </c>
      <c r="V482" s="75">
        <v>13.71</v>
      </c>
      <c r="W482" s="75">
        <v>13.65</v>
      </c>
      <c r="X482" s="75">
        <v>4.9279999999999999</v>
      </c>
      <c r="Y482" s="75">
        <v>4.7809999999999997</v>
      </c>
      <c r="Z482" s="105">
        <v>4.3209999999999997</v>
      </c>
      <c r="AA482" s="104">
        <v>19.809999999999999</v>
      </c>
      <c r="AB482" s="75">
        <v>19.93</v>
      </c>
      <c r="AC482" s="75">
        <v>20.03</v>
      </c>
      <c r="AD482" s="75">
        <v>1.3029999999999999</v>
      </c>
      <c r="AE482" s="75">
        <v>0.98399999999999999</v>
      </c>
      <c r="AF482" s="105">
        <v>1.1779999999999999</v>
      </c>
    </row>
    <row r="483" spans="2:32" x14ac:dyDescent="0.3">
      <c r="B483" s="111">
        <v>79.666666666666742</v>
      </c>
      <c r="C483" s="104">
        <v>20.059999999999999</v>
      </c>
      <c r="D483" s="75">
        <v>20.12</v>
      </c>
      <c r="E483" s="75">
        <v>20.190000000000001</v>
      </c>
      <c r="F483" s="75">
        <v>0.61499999999999999</v>
      </c>
      <c r="G483" s="75">
        <v>0.245</v>
      </c>
      <c r="H483" s="105">
        <v>0.65800000000000003</v>
      </c>
      <c r="I483" s="104">
        <v>19.88</v>
      </c>
      <c r="J483" s="75">
        <v>19.93</v>
      </c>
      <c r="K483" s="75">
        <v>19.989999999999998</v>
      </c>
      <c r="L483" s="75">
        <v>1.6930000000000001</v>
      </c>
      <c r="M483" s="75">
        <v>1.163</v>
      </c>
      <c r="N483" s="105">
        <v>1.746</v>
      </c>
      <c r="O483" s="104">
        <v>13.54</v>
      </c>
      <c r="P483" s="75">
        <v>13.55</v>
      </c>
      <c r="Q483" s="75">
        <v>13.53</v>
      </c>
      <c r="R483" s="75">
        <v>2.609</v>
      </c>
      <c r="S483" s="75">
        <v>2.5510000000000002</v>
      </c>
      <c r="T483" s="105">
        <v>2.6680000000000001</v>
      </c>
      <c r="U483" s="104">
        <v>13.77</v>
      </c>
      <c r="V483" s="75">
        <v>13.78</v>
      </c>
      <c r="W483" s="75">
        <v>13.72</v>
      </c>
      <c r="X483" s="75">
        <v>4.66</v>
      </c>
      <c r="Y483" s="75">
        <v>4.6340000000000003</v>
      </c>
      <c r="Z483" s="105">
        <v>4.3090000000000002</v>
      </c>
      <c r="AA483" s="104">
        <v>19.93</v>
      </c>
      <c r="AB483" s="75">
        <v>20.010000000000002</v>
      </c>
      <c r="AC483" s="75">
        <v>20.079999999999998</v>
      </c>
      <c r="AD483" s="75">
        <v>1.3560000000000001</v>
      </c>
      <c r="AE483" s="75">
        <v>0.68400000000000005</v>
      </c>
      <c r="AF483" s="105">
        <v>0.74199999999999999</v>
      </c>
    </row>
    <row r="484" spans="2:32" x14ac:dyDescent="0.3">
      <c r="B484" s="111">
        <v>79.833333333333414</v>
      </c>
      <c r="C484" s="104">
        <v>20.12</v>
      </c>
      <c r="D484" s="75">
        <v>20.190000000000001</v>
      </c>
      <c r="E484" s="75">
        <v>20.2</v>
      </c>
      <c r="F484" s="75">
        <v>0.54300000000000004</v>
      </c>
      <c r="G484" s="75">
        <v>-0.69099999999999995</v>
      </c>
      <c r="H484" s="105">
        <v>0.52400000000000002</v>
      </c>
      <c r="I484" s="104">
        <v>19.95</v>
      </c>
      <c r="J484" s="75">
        <v>20</v>
      </c>
      <c r="K484" s="75">
        <v>20.010000000000002</v>
      </c>
      <c r="L484" s="75">
        <v>1.2549999999999999</v>
      </c>
      <c r="M484" s="75">
        <v>0.92500000000000004</v>
      </c>
      <c r="N484" s="105">
        <v>1.4</v>
      </c>
      <c r="O484" s="104">
        <v>13.61</v>
      </c>
      <c r="P484" s="75">
        <v>13.62</v>
      </c>
      <c r="Q484" s="75">
        <v>13.6</v>
      </c>
      <c r="R484" s="75">
        <v>2.738</v>
      </c>
      <c r="S484" s="75">
        <v>2.6869999999999998</v>
      </c>
      <c r="T484" s="105">
        <v>2.5870000000000002</v>
      </c>
      <c r="U484" s="104">
        <v>13.85</v>
      </c>
      <c r="V484" s="75">
        <v>13.85</v>
      </c>
      <c r="W484" s="75">
        <v>13.79</v>
      </c>
      <c r="X484" s="75">
        <v>4.7850000000000001</v>
      </c>
      <c r="Y484" s="75">
        <v>4.7469999999999999</v>
      </c>
      <c r="Z484" s="105">
        <v>4.1870000000000003</v>
      </c>
      <c r="AA484" s="104">
        <v>19.98</v>
      </c>
      <c r="AB484" s="75">
        <v>20.07</v>
      </c>
      <c r="AC484" s="75">
        <v>20.09</v>
      </c>
      <c r="AD484" s="75">
        <v>1.1919999999999999</v>
      </c>
      <c r="AE484" s="75">
        <v>0.63400000000000001</v>
      </c>
      <c r="AF484" s="105">
        <v>0.56499999999999995</v>
      </c>
    </row>
    <row r="485" spans="2:32" x14ac:dyDescent="0.3">
      <c r="B485" s="111">
        <v>80.000000000000085</v>
      </c>
      <c r="C485" s="104">
        <v>20.18</v>
      </c>
      <c r="D485" s="75">
        <v>20.23</v>
      </c>
      <c r="E485" s="75">
        <v>20.18</v>
      </c>
      <c r="F485" s="75">
        <v>0.68400000000000005</v>
      </c>
      <c r="G485" s="75">
        <v>-0.17199999999999999</v>
      </c>
      <c r="H485" s="105">
        <v>0.36399999999999999</v>
      </c>
      <c r="I485" s="104">
        <v>20.010000000000002</v>
      </c>
      <c r="J485" s="75">
        <v>20.04</v>
      </c>
      <c r="K485" s="75">
        <v>20</v>
      </c>
      <c r="L485" s="75">
        <v>1.171</v>
      </c>
      <c r="M485" s="75">
        <v>0.91</v>
      </c>
      <c r="N485" s="105">
        <v>1.204</v>
      </c>
      <c r="O485" s="104">
        <v>13.68</v>
      </c>
      <c r="P485" s="75">
        <v>13.69</v>
      </c>
      <c r="Q485" s="75">
        <v>13.67</v>
      </c>
      <c r="R485" s="75">
        <v>2.782</v>
      </c>
      <c r="S485" s="75">
        <v>2.6680000000000001</v>
      </c>
      <c r="T485" s="105">
        <v>2.472</v>
      </c>
      <c r="U485" s="104">
        <v>13.91</v>
      </c>
      <c r="V485" s="75">
        <v>13.93</v>
      </c>
      <c r="W485" s="75">
        <v>13.86</v>
      </c>
      <c r="X485" s="75">
        <v>4.8179999999999996</v>
      </c>
      <c r="Y485" s="75">
        <v>4.6779999999999999</v>
      </c>
      <c r="Z485" s="105">
        <v>4.0739999999999998</v>
      </c>
      <c r="AA485" s="104">
        <v>20.04</v>
      </c>
      <c r="AB485" s="75">
        <v>20.12</v>
      </c>
      <c r="AC485" s="75">
        <v>20.07</v>
      </c>
      <c r="AD485" s="75">
        <v>0.99099999999999999</v>
      </c>
      <c r="AE485" s="75">
        <v>8.5000000000000006E-2</v>
      </c>
      <c r="AF485" s="105">
        <v>-0.223</v>
      </c>
    </row>
    <row r="486" spans="2:32" x14ac:dyDescent="0.3">
      <c r="B486" s="111">
        <v>80.166666666666757</v>
      </c>
      <c r="C486" s="104">
        <v>20.22</v>
      </c>
      <c r="D486" s="75">
        <v>20.239999999999998</v>
      </c>
      <c r="E486" s="75">
        <v>20.190000000000001</v>
      </c>
      <c r="F486" s="75">
        <v>0.4</v>
      </c>
      <c r="G486" s="75">
        <v>-0.38100000000000001</v>
      </c>
      <c r="H486" s="105">
        <v>0.255</v>
      </c>
      <c r="I486" s="104">
        <v>20.05</v>
      </c>
      <c r="J486" s="75">
        <v>20.07</v>
      </c>
      <c r="K486" s="75">
        <v>20.010000000000002</v>
      </c>
      <c r="L486" s="75">
        <v>0.46500000000000002</v>
      </c>
      <c r="M486" s="75">
        <v>0.45</v>
      </c>
      <c r="N486" s="105">
        <v>0.97699999999999998</v>
      </c>
      <c r="O486" s="104">
        <v>13.75</v>
      </c>
      <c r="P486" s="75">
        <v>13.77</v>
      </c>
      <c r="Q486" s="75">
        <v>13.75</v>
      </c>
      <c r="R486" s="75">
        <v>2.524</v>
      </c>
      <c r="S486" s="75">
        <v>2.7330000000000001</v>
      </c>
      <c r="T486" s="105">
        <v>2.597</v>
      </c>
      <c r="U486" s="104">
        <v>13.98</v>
      </c>
      <c r="V486" s="75">
        <v>14</v>
      </c>
      <c r="W486" s="75">
        <v>13.94</v>
      </c>
      <c r="X486" s="75">
        <v>4.5119999999999996</v>
      </c>
      <c r="Y486" s="75">
        <v>4.7519999999999998</v>
      </c>
      <c r="Z486" s="105">
        <v>4.141</v>
      </c>
      <c r="AA486" s="104">
        <v>20.09</v>
      </c>
      <c r="AB486" s="75">
        <v>20.14</v>
      </c>
      <c r="AC486" s="75">
        <v>20.079999999999998</v>
      </c>
      <c r="AD486" s="75">
        <v>0.86299999999999999</v>
      </c>
      <c r="AE486" s="75">
        <v>-0.214</v>
      </c>
      <c r="AF486" s="105">
        <v>0.21099999999999999</v>
      </c>
    </row>
    <row r="487" spans="2:32" x14ac:dyDescent="0.3">
      <c r="B487" s="111">
        <v>80.333333333333428</v>
      </c>
      <c r="C487" s="104">
        <v>20.239999999999998</v>
      </c>
      <c r="D487" s="75">
        <v>20.23</v>
      </c>
      <c r="E487" s="75">
        <v>20.18</v>
      </c>
      <c r="F487" s="75">
        <v>0.32900000000000001</v>
      </c>
      <c r="G487" s="75">
        <v>-1.1879999999999999</v>
      </c>
      <c r="H487" s="105">
        <v>0.12</v>
      </c>
      <c r="I487" s="104">
        <v>20.07</v>
      </c>
      <c r="J487" s="75">
        <v>20.05</v>
      </c>
      <c r="K487" s="75">
        <v>20</v>
      </c>
      <c r="L487" s="75">
        <v>1.002</v>
      </c>
      <c r="M487" s="75">
        <v>0.21299999999999999</v>
      </c>
      <c r="N487" s="105">
        <v>0.81100000000000005</v>
      </c>
      <c r="O487" s="104">
        <v>13.82</v>
      </c>
      <c r="P487" s="75">
        <v>13.84</v>
      </c>
      <c r="Q487" s="75">
        <v>13.81</v>
      </c>
      <c r="R487" s="75">
        <v>2.7010000000000001</v>
      </c>
      <c r="S487" s="75">
        <v>2.5259999999999998</v>
      </c>
      <c r="T487" s="105">
        <v>2.5259999999999998</v>
      </c>
      <c r="U487" s="104">
        <v>14.05</v>
      </c>
      <c r="V487" s="75">
        <v>14.07</v>
      </c>
      <c r="W487" s="75">
        <v>14</v>
      </c>
      <c r="X487" s="75">
        <v>4.774</v>
      </c>
      <c r="Y487" s="75">
        <v>4.5439999999999996</v>
      </c>
      <c r="Z487" s="105">
        <v>4.0659999999999998</v>
      </c>
      <c r="AA487" s="104">
        <v>20.12</v>
      </c>
      <c r="AB487" s="75">
        <v>20.12</v>
      </c>
      <c r="AC487" s="75">
        <v>20.079999999999998</v>
      </c>
      <c r="AD487" s="75">
        <v>0.69899999999999995</v>
      </c>
      <c r="AE487" s="75">
        <v>-0.43</v>
      </c>
      <c r="AF487" s="105">
        <v>3.4000000000000002E-2</v>
      </c>
    </row>
    <row r="488" spans="2:32" x14ac:dyDescent="0.3">
      <c r="B488" s="111">
        <v>80.500000000000099</v>
      </c>
      <c r="C488" s="104">
        <v>20.25</v>
      </c>
      <c r="D488" s="75">
        <v>20.21</v>
      </c>
      <c r="E488" s="75">
        <v>20.170000000000002</v>
      </c>
      <c r="F488" s="75">
        <v>4.1000000000000002E-2</v>
      </c>
      <c r="G488" s="75">
        <v>-0.57599999999999996</v>
      </c>
      <c r="H488" s="105">
        <v>0.23300000000000001</v>
      </c>
      <c r="I488" s="104">
        <v>20.09</v>
      </c>
      <c r="J488" s="75">
        <v>20.04</v>
      </c>
      <c r="K488" s="75">
        <v>19.989999999999998</v>
      </c>
      <c r="L488" s="75">
        <v>0.91800000000000004</v>
      </c>
      <c r="M488" s="75">
        <v>-0.83299999999999996</v>
      </c>
      <c r="N488" s="105">
        <v>0.61399999999999999</v>
      </c>
      <c r="O488" s="104">
        <v>13.9</v>
      </c>
      <c r="P488" s="75">
        <v>13.92</v>
      </c>
      <c r="Q488" s="75">
        <v>13.89</v>
      </c>
      <c r="R488" s="75">
        <v>2.8090000000000002</v>
      </c>
      <c r="S488" s="75">
        <v>2.6240000000000001</v>
      </c>
      <c r="T488" s="105">
        <v>2.581</v>
      </c>
      <c r="U488" s="104">
        <v>14.12</v>
      </c>
      <c r="V488" s="75">
        <v>14.14</v>
      </c>
      <c r="W488" s="75">
        <v>14.07</v>
      </c>
      <c r="X488" s="75">
        <v>4.806</v>
      </c>
      <c r="Y488" s="75">
        <v>4.6459999999999999</v>
      </c>
      <c r="Z488" s="105">
        <v>4.1189999999999998</v>
      </c>
      <c r="AA488" s="104">
        <v>20.14</v>
      </c>
      <c r="AB488" s="75">
        <v>20.100000000000001</v>
      </c>
      <c r="AC488" s="75">
        <v>20.059999999999999</v>
      </c>
      <c r="AD488" s="75">
        <v>0.26600000000000001</v>
      </c>
      <c r="AE488" s="75">
        <v>-0.55200000000000005</v>
      </c>
      <c r="AF488" s="105">
        <v>-0.56799999999999995</v>
      </c>
    </row>
    <row r="489" spans="2:32" x14ac:dyDescent="0.3">
      <c r="B489" s="111">
        <v>80.666666666666771</v>
      </c>
      <c r="C489" s="104">
        <v>20.239999999999998</v>
      </c>
      <c r="D489" s="75">
        <v>20.12</v>
      </c>
      <c r="E489" s="75">
        <v>20.18</v>
      </c>
      <c r="F489" s="75">
        <v>-0.52300000000000002</v>
      </c>
      <c r="G489" s="75">
        <v>-0.57399999999999995</v>
      </c>
      <c r="H489" s="105">
        <v>0.155</v>
      </c>
      <c r="I489" s="104">
        <v>20.079999999999998</v>
      </c>
      <c r="J489" s="75">
        <v>20.05</v>
      </c>
      <c r="K489" s="75">
        <v>20</v>
      </c>
      <c r="L489" s="75">
        <v>0.60099999999999998</v>
      </c>
      <c r="M489" s="75">
        <v>-0.11600000000000001</v>
      </c>
      <c r="N489" s="105">
        <v>6.3E-2</v>
      </c>
      <c r="O489" s="104">
        <v>13.97</v>
      </c>
      <c r="P489" s="75">
        <v>13.98</v>
      </c>
      <c r="Q489" s="75">
        <v>13.95</v>
      </c>
      <c r="R489" s="75">
        <v>2.7930000000000001</v>
      </c>
      <c r="S489" s="75">
        <v>2.6240000000000001</v>
      </c>
      <c r="T489" s="105">
        <v>2.4060000000000001</v>
      </c>
      <c r="U489" s="104">
        <v>14.2</v>
      </c>
      <c r="V489" s="75">
        <v>14.21</v>
      </c>
      <c r="W489" s="75">
        <v>14.13</v>
      </c>
      <c r="X489" s="75">
        <v>4.7969999999999997</v>
      </c>
      <c r="Y489" s="75">
        <v>4.58</v>
      </c>
      <c r="Z489" s="105">
        <v>3.9340000000000002</v>
      </c>
      <c r="AA489" s="104">
        <v>20.13</v>
      </c>
      <c r="AB489" s="75">
        <v>20.149999999999999</v>
      </c>
      <c r="AC489" s="75">
        <v>20.079999999999998</v>
      </c>
      <c r="AD489" s="75">
        <v>-0.39100000000000001</v>
      </c>
      <c r="AE489" s="75">
        <v>-0.504</v>
      </c>
      <c r="AF489" s="105">
        <v>6.4000000000000001E-2</v>
      </c>
    </row>
    <row r="490" spans="2:32" x14ac:dyDescent="0.3">
      <c r="B490" s="111">
        <v>80.833333333333442</v>
      </c>
      <c r="C490" s="104">
        <v>20.22</v>
      </c>
      <c r="D490" s="75">
        <v>20.16</v>
      </c>
      <c r="E490" s="75">
        <v>20.190000000000001</v>
      </c>
      <c r="F490" s="75">
        <v>-0.66</v>
      </c>
      <c r="G490" s="75">
        <v>-0.20699999999999999</v>
      </c>
      <c r="H490" s="105">
        <v>0.158</v>
      </c>
      <c r="I490" s="104">
        <v>20.059999999999999</v>
      </c>
      <c r="J490" s="75">
        <v>19.989999999999998</v>
      </c>
      <c r="K490" s="75">
        <v>20.010000000000002</v>
      </c>
      <c r="L490" s="75">
        <v>4.4999999999999998E-2</v>
      </c>
      <c r="M490" s="75">
        <v>-0.14099999999999999</v>
      </c>
      <c r="N490" s="105">
        <v>0.64600000000000002</v>
      </c>
      <c r="O490" s="104">
        <v>14.04</v>
      </c>
      <c r="P490" s="75">
        <v>14.05</v>
      </c>
      <c r="Q490" s="75">
        <v>14.03</v>
      </c>
      <c r="R490" s="75">
        <v>2.6120000000000001</v>
      </c>
      <c r="S490" s="75">
        <v>2.3740000000000001</v>
      </c>
      <c r="T490" s="105">
        <v>2.548</v>
      </c>
      <c r="U490" s="104">
        <v>14.26</v>
      </c>
      <c r="V490" s="75">
        <v>14.27</v>
      </c>
      <c r="W490" s="75">
        <v>14.21</v>
      </c>
      <c r="X490" s="75">
        <v>4.5830000000000002</v>
      </c>
      <c r="Y490" s="75">
        <v>4.2539999999999996</v>
      </c>
      <c r="Z490" s="105">
        <v>4.0839999999999996</v>
      </c>
      <c r="AA490" s="104">
        <v>20.11</v>
      </c>
      <c r="AB490" s="75">
        <v>20.05</v>
      </c>
      <c r="AC490" s="75">
        <v>20.079999999999998</v>
      </c>
      <c r="AD490" s="75">
        <v>-0.56399999999999995</v>
      </c>
      <c r="AE490" s="75">
        <v>-0.13600000000000001</v>
      </c>
      <c r="AF490" s="105">
        <v>6.0999999999999999E-2</v>
      </c>
    </row>
    <row r="491" spans="2:32" x14ac:dyDescent="0.3">
      <c r="B491" s="111">
        <v>81.000000000000114</v>
      </c>
      <c r="C491" s="104">
        <v>20.21</v>
      </c>
      <c r="D491" s="75">
        <v>20.13</v>
      </c>
      <c r="E491" s="75">
        <v>20.190000000000001</v>
      </c>
      <c r="F491" s="75">
        <v>-0.65</v>
      </c>
      <c r="G491" s="75">
        <v>4.1000000000000002E-2</v>
      </c>
      <c r="H491" s="105">
        <v>0.04</v>
      </c>
      <c r="I491" s="104">
        <v>20.05</v>
      </c>
      <c r="J491" s="75">
        <v>19.97</v>
      </c>
      <c r="K491" s="75">
        <v>20.010000000000002</v>
      </c>
      <c r="L491" s="75">
        <v>2.1999999999999999E-2</v>
      </c>
      <c r="M491" s="75">
        <v>0.38600000000000001</v>
      </c>
      <c r="N491" s="105">
        <v>0.71399999999999997</v>
      </c>
      <c r="O491" s="104">
        <v>14.11</v>
      </c>
      <c r="P491" s="75">
        <v>14.11</v>
      </c>
      <c r="Q491" s="75">
        <v>14.1</v>
      </c>
      <c r="R491" s="75">
        <v>2.6230000000000002</v>
      </c>
      <c r="S491" s="75">
        <v>2.4119999999999999</v>
      </c>
      <c r="T491" s="105">
        <v>2.5859999999999999</v>
      </c>
      <c r="U491" s="104">
        <v>14.32</v>
      </c>
      <c r="V491" s="75">
        <v>14.33</v>
      </c>
      <c r="W491" s="75">
        <v>14.27</v>
      </c>
      <c r="X491" s="75">
        <v>4.5389999999999997</v>
      </c>
      <c r="Y491" s="75">
        <v>4.3259999999999996</v>
      </c>
      <c r="Z491" s="105">
        <v>4.1189999999999998</v>
      </c>
      <c r="AA491" s="104">
        <v>20.100000000000001</v>
      </c>
      <c r="AB491" s="75">
        <v>20.02</v>
      </c>
      <c r="AC491" s="75">
        <v>20.079999999999998</v>
      </c>
      <c r="AD491" s="75">
        <v>-0.51600000000000001</v>
      </c>
      <c r="AE491" s="75">
        <v>0.114</v>
      </c>
      <c r="AF491" s="105">
        <v>-7.6999999999999999E-2</v>
      </c>
    </row>
    <row r="492" spans="2:32" x14ac:dyDescent="0.3">
      <c r="B492" s="111">
        <v>81.166666666666785</v>
      </c>
      <c r="C492" s="104">
        <v>20.18</v>
      </c>
      <c r="D492" s="75">
        <v>20.07</v>
      </c>
      <c r="E492" s="75">
        <v>20.2</v>
      </c>
      <c r="F492" s="75">
        <v>-0.47299999999999998</v>
      </c>
      <c r="G492" s="75">
        <v>-3.2000000000000001E-2</v>
      </c>
      <c r="H492" s="105">
        <v>0.16600000000000001</v>
      </c>
      <c r="I492" s="104">
        <v>20.03</v>
      </c>
      <c r="J492" s="75">
        <v>19.87</v>
      </c>
      <c r="K492" s="75">
        <v>20.02</v>
      </c>
      <c r="L492" s="75">
        <v>-0.11600000000000001</v>
      </c>
      <c r="M492" s="75">
        <v>0.68100000000000005</v>
      </c>
      <c r="N492" s="105">
        <v>0.82099999999999995</v>
      </c>
      <c r="O492" s="104">
        <v>14.18</v>
      </c>
      <c r="P492" s="75">
        <v>14.19</v>
      </c>
      <c r="Q492" s="75">
        <v>14.17</v>
      </c>
      <c r="R492" s="75">
        <v>2.5960000000000001</v>
      </c>
      <c r="S492" s="75">
        <v>2.556</v>
      </c>
      <c r="T492" s="105">
        <v>2.71</v>
      </c>
      <c r="U492" s="104">
        <v>14.39</v>
      </c>
      <c r="V492" s="75">
        <v>14.4</v>
      </c>
      <c r="W492" s="75">
        <v>14.35</v>
      </c>
      <c r="X492" s="75">
        <v>4.5540000000000003</v>
      </c>
      <c r="Y492" s="75">
        <v>4.4989999999999997</v>
      </c>
      <c r="Z492" s="105">
        <v>4.2489999999999997</v>
      </c>
      <c r="AA492" s="104">
        <v>20.07</v>
      </c>
      <c r="AB492" s="75">
        <v>19.98</v>
      </c>
      <c r="AC492" s="75">
        <v>20.09</v>
      </c>
      <c r="AD492" s="75">
        <v>-0.38300000000000001</v>
      </c>
      <c r="AE492" s="75">
        <v>1.7999999999999999E-2</v>
      </c>
      <c r="AF492" s="105">
        <v>9.7000000000000003E-2</v>
      </c>
    </row>
    <row r="493" spans="2:32" x14ac:dyDescent="0.3">
      <c r="B493" s="111">
        <v>81.333333333333456</v>
      </c>
      <c r="C493" s="104">
        <v>20.18</v>
      </c>
      <c r="D493" s="75">
        <v>20.079999999999998</v>
      </c>
      <c r="E493" s="75">
        <v>20.21</v>
      </c>
      <c r="F493" s="75">
        <v>-0.30299999999999999</v>
      </c>
      <c r="G493" s="75">
        <v>-0.154</v>
      </c>
      <c r="H493" s="105">
        <v>0.48799999999999999</v>
      </c>
      <c r="I493" s="104">
        <v>20.02</v>
      </c>
      <c r="J493" s="75">
        <v>19.920000000000002</v>
      </c>
      <c r="K493" s="75">
        <v>20.02</v>
      </c>
      <c r="L493" s="75">
        <v>4.2000000000000003E-2</v>
      </c>
      <c r="M493" s="75">
        <v>0.495</v>
      </c>
      <c r="N493" s="105">
        <v>0.68700000000000006</v>
      </c>
      <c r="O493" s="104">
        <v>14.25</v>
      </c>
      <c r="P493" s="75">
        <v>14.26</v>
      </c>
      <c r="Q493" s="75">
        <v>14.25</v>
      </c>
      <c r="R493" s="75">
        <v>2.5790000000000002</v>
      </c>
      <c r="S493" s="75">
        <v>2.6059999999999999</v>
      </c>
      <c r="T493" s="105">
        <v>2.6459999999999999</v>
      </c>
      <c r="U493" s="104">
        <v>14.46</v>
      </c>
      <c r="V493" s="75">
        <v>14.47</v>
      </c>
      <c r="W493" s="75">
        <v>14.42</v>
      </c>
      <c r="X493" s="75">
        <v>4.5119999999999996</v>
      </c>
      <c r="Y493" s="75">
        <v>4.5720000000000001</v>
      </c>
      <c r="Z493" s="105">
        <v>4.1710000000000003</v>
      </c>
      <c r="AA493" s="104">
        <v>20.07</v>
      </c>
      <c r="AB493" s="75">
        <v>19.97</v>
      </c>
      <c r="AC493" s="75">
        <v>20.100000000000001</v>
      </c>
      <c r="AD493" s="75">
        <v>-0.14099999999999999</v>
      </c>
      <c r="AE493" s="75">
        <v>-6.6000000000000003E-2</v>
      </c>
      <c r="AF493" s="105">
        <v>0.46100000000000002</v>
      </c>
    </row>
    <row r="494" spans="2:32" x14ac:dyDescent="0.3">
      <c r="B494" s="111">
        <v>81.500000000000128</v>
      </c>
      <c r="C494" s="104">
        <v>20.170000000000002</v>
      </c>
      <c r="D494" s="75">
        <v>20.05</v>
      </c>
      <c r="E494" s="75">
        <v>20.22</v>
      </c>
      <c r="F494" s="75">
        <v>-0.38400000000000001</v>
      </c>
      <c r="G494" s="75">
        <v>0.155</v>
      </c>
      <c r="H494" s="105">
        <v>0.27100000000000002</v>
      </c>
      <c r="I494" s="104">
        <v>20.02</v>
      </c>
      <c r="J494" s="75">
        <v>19.899999999999999</v>
      </c>
      <c r="K494" s="75">
        <v>20.04</v>
      </c>
      <c r="L494" s="75">
        <v>0.20599999999999999</v>
      </c>
      <c r="M494" s="75">
        <v>0.47799999999999998</v>
      </c>
      <c r="N494" s="105">
        <v>0.98199999999999998</v>
      </c>
      <c r="O494" s="104">
        <v>14.31</v>
      </c>
      <c r="P494" s="75">
        <v>14.33</v>
      </c>
      <c r="Q494" s="75">
        <v>14.32</v>
      </c>
      <c r="R494" s="75">
        <v>2.6880000000000002</v>
      </c>
      <c r="S494" s="75">
        <v>2.5329999999999999</v>
      </c>
      <c r="T494" s="105">
        <v>2.5190000000000001</v>
      </c>
      <c r="U494" s="104">
        <v>14.52</v>
      </c>
      <c r="V494" s="75">
        <v>14.54</v>
      </c>
      <c r="W494" s="75">
        <v>14.49</v>
      </c>
      <c r="X494" s="75">
        <v>4.633</v>
      </c>
      <c r="Y494" s="75">
        <v>4.4480000000000004</v>
      </c>
      <c r="Z494" s="105">
        <v>4.0640000000000001</v>
      </c>
      <c r="AA494" s="104">
        <v>20.059999999999999</v>
      </c>
      <c r="AB494" s="75">
        <v>19.940000000000001</v>
      </c>
      <c r="AC494" s="75">
        <v>20.12</v>
      </c>
      <c r="AD494" s="75">
        <v>-0.30399999999999999</v>
      </c>
      <c r="AE494" s="75">
        <v>0.23300000000000001</v>
      </c>
      <c r="AF494" s="105">
        <v>0.188</v>
      </c>
    </row>
    <row r="495" spans="2:32" x14ac:dyDescent="0.3">
      <c r="B495" s="111">
        <v>81.666666666666799</v>
      </c>
      <c r="C495" s="104">
        <v>20.18</v>
      </c>
      <c r="D495" s="75">
        <v>20.03</v>
      </c>
      <c r="E495" s="75">
        <v>20.239999999999998</v>
      </c>
      <c r="F495" s="75">
        <v>6.9000000000000006E-2</v>
      </c>
      <c r="G495" s="75">
        <v>-8.9999999999999993E-3</v>
      </c>
      <c r="H495" s="105">
        <v>0.14499999999999999</v>
      </c>
      <c r="I495" s="104">
        <v>20.02</v>
      </c>
      <c r="J495" s="75">
        <v>19.88</v>
      </c>
      <c r="K495" s="75">
        <v>20.07</v>
      </c>
      <c r="L495" s="75">
        <v>0.215</v>
      </c>
      <c r="M495" s="75">
        <v>0.70699999999999996</v>
      </c>
      <c r="N495" s="105">
        <v>0.94299999999999995</v>
      </c>
      <c r="O495" s="104">
        <v>14.39</v>
      </c>
      <c r="P495" s="75">
        <v>14.4</v>
      </c>
      <c r="Q495" s="75">
        <v>14.4</v>
      </c>
      <c r="R495" s="75">
        <v>2.9990000000000001</v>
      </c>
      <c r="S495" s="75">
        <v>2.8650000000000002</v>
      </c>
      <c r="T495" s="105">
        <v>3.012</v>
      </c>
      <c r="U495" s="104">
        <v>14.6</v>
      </c>
      <c r="V495" s="75">
        <v>14.61</v>
      </c>
      <c r="W495" s="75">
        <v>14.57</v>
      </c>
      <c r="X495" s="75">
        <v>4.968</v>
      </c>
      <c r="Y495" s="75">
        <v>4.8250000000000002</v>
      </c>
      <c r="Z495" s="105">
        <v>4.556</v>
      </c>
      <c r="AA495" s="104">
        <v>20.07</v>
      </c>
      <c r="AB495" s="75">
        <v>19.920000000000002</v>
      </c>
      <c r="AC495" s="75">
        <v>20.12</v>
      </c>
      <c r="AD495" s="75">
        <v>0.187</v>
      </c>
      <c r="AE495" s="75">
        <v>9.9000000000000005E-2</v>
      </c>
      <c r="AF495" s="105">
        <v>-1.4E-2</v>
      </c>
    </row>
    <row r="496" spans="2:32" x14ac:dyDescent="0.3">
      <c r="B496" s="111">
        <v>81.833333333333471</v>
      </c>
      <c r="C496" s="104">
        <v>20.190000000000001</v>
      </c>
      <c r="D496" s="75">
        <v>20</v>
      </c>
      <c r="E496" s="75">
        <v>20.29</v>
      </c>
      <c r="F496" s="75">
        <v>-0.16</v>
      </c>
      <c r="G496" s="75">
        <v>0.10199999999999999</v>
      </c>
      <c r="H496" s="105">
        <v>0.54900000000000004</v>
      </c>
      <c r="I496" s="104">
        <v>20.03</v>
      </c>
      <c r="J496" s="75">
        <v>19.850000000000001</v>
      </c>
      <c r="K496" s="75">
        <v>20.13</v>
      </c>
      <c r="L496" s="75">
        <v>0.64700000000000002</v>
      </c>
      <c r="M496" s="75">
        <v>0.37</v>
      </c>
      <c r="N496" s="105">
        <v>1.111</v>
      </c>
      <c r="O496" s="104">
        <v>14.46</v>
      </c>
      <c r="P496" s="75">
        <v>14.49</v>
      </c>
      <c r="Q496" s="75">
        <v>14.48</v>
      </c>
      <c r="R496" s="75">
        <v>2.931</v>
      </c>
      <c r="S496" s="75">
        <v>2.86</v>
      </c>
      <c r="T496" s="105">
        <v>3.016</v>
      </c>
      <c r="U496" s="104">
        <v>14.67</v>
      </c>
      <c r="V496" s="75">
        <v>14.69</v>
      </c>
      <c r="W496" s="75">
        <v>14.65</v>
      </c>
      <c r="X496" s="75">
        <v>4.9279999999999999</v>
      </c>
      <c r="Y496" s="75">
        <v>4.8579999999999997</v>
      </c>
      <c r="Z496" s="105">
        <v>4.5810000000000004</v>
      </c>
      <c r="AA496" s="104">
        <v>20.079999999999998</v>
      </c>
      <c r="AB496" s="75">
        <v>19.89</v>
      </c>
      <c r="AC496" s="75">
        <v>20.170000000000002</v>
      </c>
      <c r="AD496" s="75">
        <v>-4.3999999999999997E-2</v>
      </c>
      <c r="AE496" s="75">
        <v>4.7E-2</v>
      </c>
      <c r="AF496" s="105">
        <v>0.48599999999999999</v>
      </c>
    </row>
    <row r="497" spans="2:32" x14ac:dyDescent="0.3">
      <c r="B497" s="111">
        <v>82.000000000000142</v>
      </c>
      <c r="C497" s="104">
        <v>20.18</v>
      </c>
      <c r="D497" s="75">
        <v>19.98</v>
      </c>
      <c r="E497" s="75">
        <v>20.350000000000001</v>
      </c>
      <c r="F497" s="75">
        <v>-0.20200000000000001</v>
      </c>
      <c r="G497" s="75">
        <v>-0.23200000000000001</v>
      </c>
      <c r="H497" s="105">
        <v>0.65500000000000003</v>
      </c>
      <c r="I497" s="104">
        <v>19.989999999999998</v>
      </c>
      <c r="J497" s="75">
        <v>19.829999999999998</v>
      </c>
      <c r="K497" s="75">
        <v>20.190000000000001</v>
      </c>
      <c r="L497" s="75">
        <v>0.50900000000000001</v>
      </c>
      <c r="M497" s="75">
        <v>0.40300000000000002</v>
      </c>
      <c r="N497" s="105">
        <v>1.5960000000000001</v>
      </c>
      <c r="O497" s="104">
        <v>14.55</v>
      </c>
      <c r="P497" s="75">
        <v>14.57</v>
      </c>
      <c r="Q497" s="75">
        <v>14.56</v>
      </c>
      <c r="R497" s="75">
        <v>2.99</v>
      </c>
      <c r="S497" s="75">
        <v>2.8969999999999998</v>
      </c>
      <c r="T497" s="105">
        <v>2.8180000000000001</v>
      </c>
      <c r="U497" s="104">
        <v>14.75</v>
      </c>
      <c r="V497" s="75">
        <v>14.77</v>
      </c>
      <c r="W497" s="75">
        <v>14.73</v>
      </c>
      <c r="X497" s="75">
        <v>4.9870000000000001</v>
      </c>
      <c r="Y497" s="75">
        <v>4.88</v>
      </c>
      <c r="Z497" s="105">
        <v>4.3250000000000002</v>
      </c>
      <c r="AA497" s="104">
        <v>20.010000000000002</v>
      </c>
      <c r="AB497" s="75">
        <v>19.87</v>
      </c>
      <c r="AC497" s="75">
        <v>20.22</v>
      </c>
      <c r="AD497" s="75">
        <v>-0.61899999999999999</v>
      </c>
      <c r="AE497" s="75">
        <v>-0.17599999999999999</v>
      </c>
      <c r="AF497" s="105">
        <v>0.749</v>
      </c>
    </row>
    <row r="498" spans="2:32" x14ac:dyDescent="0.3">
      <c r="B498" s="111">
        <v>82.166666666666814</v>
      </c>
      <c r="C498" s="104"/>
      <c r="H498" s="105"/>
      <c r="I498" s="104"/>
      <c r="N498" s="105"/>
      <c r="O498" s="104">
        <v>14.63</v>
      </c>
      <c r="P498" s="75">
        <v>14.64</v>
      </c>
      <c r="Q498" s="75">
        <v>14.64</v>
      </c>
      <c r="R498" s="75">
        <v>3.1040000000000001</v>
      </c>
      <c r="S498" s="75">
        <v>2.8969999999999998</v>
      </c>
      <c r="T498" s="105">
        <v>2.7469999999999999</v>
      </c>
      <c r="U498" s="104">
        <v>14.83</v>
      </c>
      <c r="V498" s="75">
        <v>14.84</v>
      </c>
      <c r="W498" s="75">
        <v>14.8</v>
      </c>
      <c r="X498" s="75">
        <v>5.0629999999999997</v>
      </c>
      <c r="Y498" s="75">
        <v>4.8239999999999998</v>
      </c>
      <c r="Z498" s="105">
        <v>4.2469999999999999</v>
      </c>
      <c r="AA498" s="104"/>
      <c r="AF498" s="105"/>
    </row>
    <row r="499" spans="2:32" x14ac:dyDescent="0.3">
      <c r="B499" s="111">
        <v>82.333333333333485</v>
      </c>
      <c r="C499" s="104"/>
      <c r="H499" s="105"/>
      <c r="I499" s="104"/>
      <c r="N499" s="105"/>
      <c r="O499" s="104">
        <v>14.69</v>
      </c>
      <c r="P499" s="75">
        <v>14.71</v>
      </c>
      <c r="Q499" s="75">
        <v>14.71</v>
      </c>
      <c r="R499" s="75">
        <v>2.887</v>
      </c>
      <c r="S499" s="75">
        <v>2.8559999999999999</v>
      </c>
      <c r="T499" s="105">
        <v>2.8079999999999998</v>
      </c>
      <c r="U499" s="104">
        <v>14.9</v>
      </c>
      <c r="V499" s="75">
        <v>14.91</v>
      </c>
      <c r="W499" s="75">
        <v>14.88</v>
      </c>
      <c r="X499" s="75">
        <v>4.7830000000000004</v>
      </c>
      <c r="Y499" s="75">
        <v>4.7469999999999999</v>
      </c>
      <c r="Z499" s="105">
        <v>4.2640000000000002</v>
      </c>
      <c r="AA499" s="104"/>
      <c r="AF499" s="105"/>
    </row>
    <row r="500" spans="2:32" x14ac:dyDescent="0.3">
      <c r="B500" s="111">
        <v>82.500000000000156</v>
      </c>
      <c r="C500" s="104"/>
      <c r="H500" s="105"/>
      <c r="I500" s="104"/>
      <c r="N500" s="105"/>
      <c r="O500" s="104">
        <v>14.77</v>
      </c>
      <c r="P500" s="75">
        <v>14.79</v>
      </c>
      <c r="Q500" s="75">
        <v>14.78</v>
      </c>
      <c r="R500" s="75">
        <v>2.7930000000000001</v>
      </c>
      <c r="S500" s="75">
        <v>2.7269999999999999</v>
      </c>
      <c r="T500" s="105">
        <v>2.73</v>
      </c>
      <c r="U500" s="104">
        <v>14.97</v>
      </c>
      <c r="V500" s="75">
        <v>14.99</v>
      </c>
      <c r="W500" s="75">
        <v>14.94</v>
      </c>
      <c r="X500" s="75">
        <v>4.6790000000000003</v>
      </c>
      <c r="Y500" s="75">
        <v>4.6029999999999998</v>
      </c>
      <c r="Z500" s="105">
        <v>4.1950000000000003</v>
      </c>
      <c r="AA500" s="104"/>
      <c r="AF500" s="105"/>
    </row>
    <row r="501" spans="2:32" x14ac:dyDescent="0.3">
      <c r="B501" s="111">
        <v>82.666666666666828</v>
      </c>
      <c r="C501" s="104"/>
      <c r="H501" s="105"/>
      <c r="I501" s="104"/>
      <c r="N501" s="105"/>
      <c r="O501" s="104">
        <v>14.84</v>
      </c>
      <c r="P501" s="75">
        <v>14.85</v>
      </c>
      <c r="Q501" s="75">
        <v>14.85</v>
      </c>
      <c r="R501" s="75">
        <v>2.8559999999999999</v>
      </c>
      <c r="S501" s="75">
        <v>2.6040000000000001</v>
      </c>
      <c r="T501" s="105">
        <v>2.6110000000000002</v>
      </c>
      <c r="U501" s="104">
        <v>15.04</v>
      </c>
      <c r="V501" s="75">
        <v>15.05</v>
      </c>
      <c r="W501" s="75">
        <v>15.01</v>
      </c>
      <c r="X501" s="75">
        <v>4.7590000000000003</v>
      </c>
      <c r="Y501" s="75">
        <v>4.4480000000000004</v>
      </c>
      <c r="Z501" s="105">
        <v>4.0350000000000001</v>
      </c>
      <c r="AA501" s="104"/>
      <c r="AF501" s="105"/>
    </row>
    <row r="502" spans="2:32" x14ac:dyDescent="0.3">
      <c r="B502" s="111">
        <v>82.833333333333499</v>
      </c>
      <c r="C502" s="104"/>
      <c r="H502" s="105"/>
      <c r="I502" s="104"/>
      <c r="N502" s="105"/>
      <c r="O502" s="104">
        <v>14.92</v>
      </c>
      <c r="P502" s="75">
        <v>14.93</v>
      </c>
      <c r="Q502" s="75">
        <v>14.93</v>
      </c>
      <c r="R502" s="75">
        <v>2.984</v>
      </c>
      <c r="S502" s="75">
        <v>2.8359999999999999</v>
      </c>
      <c r="T502" s="105">
        <v>2.621</v>
      </c>
      <c r="U502" s="104">
        <v>15.11</v>
      </c>
      <c r="V502" s="75">
        <v>15.13</v>
      </c>
      <c r="W502" s="75">
        <v>15.09</v>
      </c>
      <c r="X502" s="75">
        <v>4.9119999999999999</v>
      </c>
      <c r="Y502" s="75">
        <v>4.6920000000000002</v>
      </c>
      <c r="Z502" s="105">
        <v>4.085</v>
      </c>
      <c r="AA502" s="104"/>
      <c r="AF502" s="105"/>
    </row>
    <row r="503" spans="2:32" x14ac:dyDescent="0.3">
      <c r="B503" s="111">
        <v>83.000000000000171</v>
      </c>
      <c r="C503" s="104"/>
      <c r="H503" s="105"/>
      <c r="I503" s="104"/>
      <c r="N503" s="105"/>
      <c r="O503" s="104">
        <v>14.98</v>
      </c>
      <c r="P503" s="75">
        <v>15</v>
      </c>
      <c r="Q503" s="75">
        <v>15</v>
      </c>
      <c r="R503" s="75">
        <v>2.78</v>
      </c>
      <c r="S503" s="75">
        <v>2.7829999999999999</v>
      </c>
      <c r="T503" s="105">
        <v>2.7029999999999998</v>
      </c>
      <c r="U503" s="104">
        <v>15.17</v>
      </c>
      <c r="V503" s="75">
        <v>15.19</v>
      </c>
      <c r="W503" s="75">
        <v>15.16</v>
      </c>
      <c r="X503" s="75">
        <v>4.66</v>
      </c>
      <c r="Y503" s="75">
        <v>4.6520000000000001</v>
      </c>
      <c r="Z503" s="105">
        <v>4.1639999999999997</v>
      </c>
      <c r="AA503" s="104"/>
      <c r="AF503" s="105"/>
    </row>
    <row r="504" spans="2:32" x14ac:dyDescent="0.3">
      <c r="B504" s="111">
        <v>83.166666666666842</v>
      </c>
      <c r="C504" s="104"/>
      <c r="H504" s="105"/>
      <c r="I504" s="104"/>
      <c r="N504" s="105"/>
      <c r="O504" s="104">
        <v>15.05</v>
      </c>
      <c r="P504" s="75">
        <v>15.07</v>
      </c>
      <c r="Q504" s="75">
        <v>15.08</v>
      </c>
      <c r="R504" s="75">
        <v>2.9129999999999998</v>
      </c>
      <c r="S504" s="75">
        <v>2.7629999999999999</v>
      </c>
      <c r="T504" s="105">
        <v>2.8660000000000001</v>
      </c>
      <c r="U504" s="104">
        <v>15.25</v>
      </c>
      <c r="V504" s="75">
        <v>15.26</v>
      </c>
      <c r="W504" s="75">
        <v>15.23</v>
      </c>
      <c r="X504" s="75">
        <v>4.7709999999999999</v>
      </c>
      <c r="Y504" s="75">
        <v>4.5880000000000001</v>
      </c>
      <c r="Z504" s="105">
        <v>4.351</v>
      </c>
      <c r="AA504" s="104"/>
      <c r="AF504" s="105"/>
    </row>
    <row r="505" spans="2:32" x14ac:dyDescent="0.3">
      <c r="B505" s="111">
        <v>83.333333333333513</v>
      </c>
      <c r="C505" s="104"/>
      <c r="H505" s="105"/>
      <c r="I505" s="104"/>
      <c r="N505" s="105"/>
      <c r="O505" s="104">
        <v>15.13</v>
      </c>
      <c r="P505" s="75">
        <v>15.15</v>
      </c>
      <c r="Q505" s="75">
        <v>15.15</v>
      </c>
      <c r="R505" s="75">
        <v>2.8420000000000001</v>
      </c>
      <c r="S505" s="75">
        <v>2.6629999999999998</v>
      </c>
      <c r="T505" s="105">
        <v>2.839</v>
      </c>
      <c r="U505" s="104">
        <v>15.32</v>
      </c>
      <c r="V505" s="75">
        <v>15.33</v>
      </c>
      <c r="W505" s="75">
        <v>15.3</v>
      </c>
      <c r="X505" s="75">
        <v>4.7539999999999996</v>
      </c>
      <c r="Y505" s="75">
        <v>4.4939999999999998</v>
      </c>
      <c r="Z505" s="105">
        <v>4.2629999999999999</v>
      </c>
      <c r="AA505" s="104"/>
      <c r="AF505" s="105"/>
    </row>
    <row r="506" spans="2:32" x14ac:dyDescent="0.3">
      <c r="B506" s="111">
        <v>83.500000000000185</v>
      </c>
      <c r="C506" s="104"/>
      <c r="H506" s="105"/>
      <c r="I506" s="104"/>
      <c r="N506" s="105"/>
      <c r="O506" s="104">
        <v>15.21</v>
      </c>
      <c r="P506" s="75">
        <v>15.21</v>
      </c>
      <c r="Q506" s="75">
        <v>15.22</v>
      </c>
      <c r="R506" s="75">
        <v>2.8290000000000002</v>
      </c>
      <c r="S506" s="75">
        <v>2.665</v>
      </c>
      <c r="T506" s="105">
        <v>2.851</v>
      </c>
      <c r="U506" s="104">
        <v>15.39</v>
      </c>
      <c r="V506" s="75">
        <v>15.4</v>
      </c>
      <c r="W506" s="75">
        <v>15.37</v>
      </c>
      <c r="X506" s="75">
        <v>4.6929999999999996</v>
      </c>
      <c r="Y506" s="75">
        <v>4.4800000000000004</v>
      </c>
      <c r="Z506" s="105">
        <v>4.2759999999999998</v>
      </c>
      <c r="AA506" s="104"/>
      <c r="AF506" s="105"/>
    </row>
    <row r="507" spans="2:32" x14ac:dyDescent="0.3">
      <c r="B507" s="111">
        <v>83.666666666666856</v>
      </c>
      <c r="C507" s="104"/>
      <c r="H507" s="105"/>
      <c r="I507" s="104"/>
      <c r="N507" s="105"/>
      <c r="O507" s="104">
        <v>15.28</v>
      </c>
      <c r="P507" s="75">
        <v>15.28</v>
      </c>
      <c r="Q507" s="75">
        <v>15.3</v>
      </c>
      <c r="R507" s="75">
        <v>2.9380000000000002</v>
      </c>
      <c r="S507" s="75">
        <v>2.7149999999999999</v>
      </c>
      <c r="T507" s="105">
        <v>2.7290000000000001</v>
      </c>
      <c r="U507" s="104">
        <v>15.46</v>
      </c>
      <c r="V507" s="75">
        <v>15.46</v>
      </c>
      <c r="W507" s="75">
        <v>15.44</v>
      </c>
      <c r="X507" s="75">
        <v>4.8120000000000003</v>
      </c>
      <c r="Y507" s="75">
        <v>4.5599999999999996</v>
      </c>
      <c r="Z507" s="105">
        <v>4.1580000000000004</v>
      </c>
      <c r="AA507" s="104"/>
      <c r="AF507" s="105"/>
    </row>
    <row r="508" spans="2:32" x14ac:dyDescent="0.3">
      <c r="B508" s="111">
        <v>83.833333333333528</v>
      </c>
      <c r="C508" s="104"/>
      <c r="H508" s="105"/>
      <c r="I508" s="104"/>
      <c r="N508" s="105"/>
      <c r="O508" s="104">
        <v>15.35</v>
      </c>
      <c r="P508" s="75">
        <v>15.35</v>
      </c>
      <c r="Q508" s="75">
        <v>15.37</v>
      </c>
      <c r="R508" s="75">
        <v>2.992</v>
      </c>
      <c r="S508" s="75">
        <v>2.798</v>
      </c>
      <c r="T508" s="105">
        <v>2.77</v>
      </c>
      <c r="U508" s="104">
        <v>15.53</v>
      </c>
      <c r="V508" s="75">
        <v>15.53</v>
      </c>
      <c r="W508" s="75">
        <v>15.51</v>
      </c>
      <c r="X508" s="75">
        <v>4.899</v>
      </c>
      <c r="Y508" s="75">
        <v>4.6559999999999997</v>
      </c>
      <c r="Z508" s="105">
        <v>4.2249999999999996</v>
      </c>
      <c r="AA508" s="104"/>
      <c r="AF508" s="105"/>
    </row>
    <row r="509" spans="2:32" x14ac:dyDescent="0.3">
      <c r="B509" s="111">
        <v>84.000000000000199</v>
      </c>
      <c r="C509" s="104"/>
      <c r="H509" s="105"/>
      <c r="I509" s="104"/>
      <c r="N509" s="105"/>
      <c r="O509" s="104">
        <v>15.42</v>
      </c>
      <c r="P509" s="75">
        <v>15.42</v>
      </c>
      <c r="Q509" s="75">
        <v>15.45</v>
      </c>
      <c r="R509" s="75">
        <v>3.0270000000000001</v>
      </c>
      <c r="S509" s="75">
        <v>2.734</v>
      </c>
      <c r="T509" s="105">
        <v>3.097</v>
      </c>
      <c r="U509" s="104">
        <v>15.6</v>
      </c>
      <c r="V509" s="75">
        <v>15.6</v>
      </c>
      <c r="W509" s="75">
        <v>15.59</v>
      </c>
      <c r="X509" s="75">
        <v>4.9450000000000003</v>
      </c>
      <c r="Y509" s="75">
        <v>4.6070000000000002</v>
      </c>
      <c r="Z509" s="105">
        <v>4.58</v>
      </c>
      <c r="AA509" s="104"/>
      <c r="AF509" s="105"/>
    </row>
    <row r="510" spans="2:32" x14ac:dyDescent="0.3">
      <c r="B510" s="111">
        <v>84.16666666666687</v>
      </c>
      <c r="C510" s="104"/>
      <c r="H510" s="105"/>
      <c r="I510" s="104"/>
      <c r="N510" s="105"/>
      <c r="O510" s="104">
        <v>15.51</v>
      </c>
      <c r="P510" s="75">
        <v>15.52</v>
      </c>
      <c r="Q510" s="75">
        <v>15.54</v>
      </c>
      <c r="R510" s="75">
        <v>3.3809999999999998</v>
      </c>
      <c r="S510" s="75">
        <v>3.3530000000000002</v>
      </c>
      <c r="T510" s="105">
        <v>3.2759999999999998</v>
      </c>
      <c r="U510" s="104">
        <v>15.68</v>
      </c>
      <c r="V510" s="75">
        <v>15.69</v>
      </c>
      <c r="W510" s="75">
        <v>15.67</v>
      </c>
      <c r="X510" s="75">
        <v>5.3840000000000003</v>
      </c>
      <c r="Y510" s="75">
        <v>5.3609999999999998</v>
      </c>
      <c r="Z510" s="105">
        <v>4.8250000000000002</v>
      </c>
      <c r="AA510" s="104"/>
      <c r="AF510" s="105"/>
    </row>
    <row r="511" spans="2:32" x14ac:dyDescent="0.3">
      <c r="B511" s="111">
        <v>84.333333333333542</v>
      </c>
      <c r="C511" s="104"/>
      <c r="H511" s="105"/>
      <c r="I511" s="104"/>
      <c r="N511" s="105"/>
      <c r="O511" s="104">
        <v>15.6</v>
      </c>
      <c r="P511" s="75">
        <v>15.6</v>
      </c>
      <c r="Q511" s="75">
        <v>15.61</v>
      </c>
      <c r="R511" s="75">
        <v>3.3660000000000001</v>
      </c>
      <c r="S511" s="75">
        <v>3.242</v>
      </c>
      <c r="T511" s="105">
        <v>3.1040000000000001</v>
      </c>
      <c r="U511" s="104">
        <v>15.76</v>
      </c>
      <c r="V511" s="75">
        <v>15.77</v>
      </c>
      <c r="W511" s="75">
        <v>15.75</v>
      </c>
      <c r="X511" s="75">
        <v>5.3239999999999998</v>
      </c>
      <c r="Y511" s="75">
        <v>5.2190000000000003</v>
      </c>
      <c r="Z511" s="105">
        <v>4.6440000000000001</v>
      </c>
      <c r="AA511" s="104"/>
      <c r="AF511" s="105"/>
    </row>
    <row r="512" spans="2:32" x14ac:dyDescent="0.3">
      <c r="B512" s="111">
        <v>84.500000000000213</v>
      </c>
      <c r="C512" s="104"/>
      <c r="H512" s="105"/>
      <c r="I512" s="104"/>
      <c r="N512" s="105"/>
      <c r="O512" s="104">
        <v>15.67</v>
      </c>
      <c r="P512" s="75">
        <v>15.68</v>
      </c>
      <c r="Q512" s="75">
        <v>15.7</v>
      </c>
      <c r="R512" s="75">
        <v>3.3849999999999998</v>
      </c>
      <c r="S512" s="75">
        <v>3.2890000000000001</v>
      </c>
      <c r="T512" s="105">
        <v>3.0649999999999999</v>
      </c>
      <c r="U512" s="104">
        <v>15.84</v>
      </c>
      <c r="V512" s="75">
        <v>15.84</v>
      </c>
      <c r="W512" s="75">
        <v>15.83</v>
      </c>
      <c r="X512" s="75">
        <v>5.367</v>
      </c>
      <c r="Y512" s="75">
        <v>5.2679999999999998</v>
      </c>
      <c r="Z512" s="105">
        <v>4.609</v>
      </c>
      <c r="AA512" s="104"/>
      <c r="AF512" s="105"/>
    </row>
    <row r="513" spans="2:32" x14ac:dyDescent="0.3">
      <c r="B513" s="111">
        <v>84.666666666666885</v>
      </c>
      <c r="C513" s="104"/>
      <c r="H513" s="105"/>
      <c r="I513" s="104"/>
      <c r="N513" s="105"/>
      <c r="O513" s="104">
        <v>15.75</v>
      </c>
      <c r="P513" s="75">
        <v>15.75</v>
      </c>
      <c r="Q513" s="75">
        <v>15.77</v>
      </c>
      <c r="R513" s="75">
        <v>3.2080000000000002</v>
      </c>
      <c r="S513" s="75">
        <v>3.161</v>
      </c>
      <c r="T513" s="105">
        <v>2.9369999999999998</v>
      </c>
      <c r="U513" s="104">
        <v>15.91</v>
      </c>
      <c r="V513" s="75">
        <v>15.91</v>
      </c>
      <c r="W513" s="75">
        <v>15.89</v>
      </c>
      <c r="X513" s="75">
        <v>5.1559999999999997</v>
      </c>
      <c r="Y513" s="75">
        <v>5.1260000000000003</v>
      </c>
      <c r="Z513" s="105">
        <v>4.4779999999999998</v>
      </c>
      <c r="AA513" s="104"/>
      <c r="AF513" s="105"/>
    </row>
    <row r="514" spans="2:32" x14ac:dyDescent="0.3">
      <c r="B514" s="111">
        <v>84.833333333333556</v>
      </c>
      <c r="C514" s="104"/>
      <c r="H514" s="105"/>
      <c r="I514" s="104"/>
      <c r="N514" s="105"/>
      <c r="O514" s="104">
        <v>15.83</v>
      </c>
      <c r="P514" s="75">
        <v>15.83</v>
      </c>
      <c r="Q514" s="75">
        <v>15.84</v>
      </c>
      <c r="R514" s="75">
        <v>3.145</v>
      </c>
      <c r="S514" s="75">
        <v>3.0369999999999999</v>
      </c>
      <c r="T514" s="105">
        <v>2.7749999999999999</v>
      </c>
      <c r="U514" s="104">
        <v>15.98</v>
      </c>
      <c r="V514" s="75">
        <v>15.99</v>
      </c>
      <c r="W514" s="75">
        <v>15.96</v>
      </c>
      <c r="X514" s="75">
        <v>5.141</v>
      </c>
      <c r="Y514" s="75">
        <v>5.0529999999999999</v>
      </c>
      <c r="Z514" s="105">
        <v>4.3230000000000004</v>
      </c>
      <c r="AA514" s="104"/>
      <c r="AF514" s="105"/>
    </row>
    <row r="515" spans="2:32" x14ac:dyDescent="0.3">
      <c r="B515" s="111">
        <v>85.000000000000227</v>
      </c>
      <c r="C515" s="104"/>
      <c r="H515" s="105"/>
      <c r="I515" s="104"/>
      <c r="N515" s="105"/>
      <c r="O515" s="104">
        <v>15.9</v>
      </c>
      <c r="P515" s="75">
        <v>15.91</v>
      </c>
      <c r="Q515" s="75">
        <v>15.9</v>
      </c>
      <c r="R515" s="75">
        <v>3.1680000000000001</v>
      </c>
      <c r="S515" s="75">
        <v>3.12</v>
      </c>
      <c r="T515" s="105">
        <v>2.9449999999999998</v>
      </c>
      <c r="U515" s="104">
        <v>16.05</v>
      </c>
      <c r="V515" s="75">
        <v>16.059999999999999</v>
      </c>
      <c r="W515" s="75">
        <v>16.03</v>
      </c>
      <c r="X515" s="75">
        <v>5.1440000000000001</v>
      </c>
      <c r="Y515" s="75">
        <v>5.093</v>
      </c>
      <c r="Z515" s="105">
        <v>4.4939999999999998</v>
      </c>
      <c r="AA515" s="104"/>
      <c r="AF515" s="105"/>
    </row>
    <row r="516" spans="2:32" x14ac:dyDescent="0.3">
      <c r="B516" s="111">
        <v>85.166666666666899</v>
      </c>
      <c r="C516" s="104"/>
      <c r="H516" s="105"/>
      <c r="I516" s="104"/>
      <c r="N516" s="105"/>
      <c r="O516" s="104">
        <v>15.98</v>
      </c>
      <c r="P516" s="75">
        <v>15.98</v>
      </c>
      <c r="Q516" s="75">
        <v>15.99</v>
      </c>
      <c r="R516" s="75">
        <v>3.1920000000000002</v>
      </c>
      <c r="S516" s="75">
        <v>3.0710000000000002</v>
      </c>
      <c r="T516" s="105">
        <v>2.9449999999999998</v>
      </c>
      <c r="U516" s="104">
        <v>16.13</v>
      </c>
      <c r="V516" s="75">
        <v>16.13</v>
      </c>
      <c r="W516" s="75">
        <v>16.100000000000001</v>
      </c>
      <c r="X516" s="75">
        <v>5.24</v>
      </c>
      <c r="Y516" s="75">
        <v>5.1050000000000004</v>
      </c>
      <c r="Z516" s="105">
        <v>4.5510000000000002</v>
      </c>
      <c r="AA516" s="104"/>
      <c r="AF516" s="105"/>
    </row>
    <row r="517" spans="2:32" x14ac:dyDescent="0.3">
      <c r="B517" s="111">
        <v>85.33333333333357</v>
      </c>
      <c r="C517" s="104"/>
      <c r="H517" s="105"/>
      <c r="I517" s="104"/>
      <c r="N517" s="105"/>
      <c r="O517" s="104">
        <v>16.04</v>
      </c>
      <c r="P517" s="75">
        <v>16.05</v>
      </c>
      <c r="Q517" s="75">
        <v>16.05</v>
      </c>
      <c r="R517" s="75">
        <v>2.992</v>
      </c>
      <c r="S517" s="75">
        <v>2.948</v>
      </c>
      <c r="T517" s="105">
        <v>2.617</v>
      </c>
      <c r="U517" s="104">
        <v>16.190000000000001</v>
      </c>
      <c r="V517" s="75">
        <v>16.2</v>
      </c>
      <c r="W517" s="75">
        <v>16.16</v>
      </c>
      <c r="X517" s="75">
        <v>5.0179999999999998</v>
      </c>
      <c r="Y517" s="75">
        <v>4.9800000000000004</v>
      </c>
      <c r="Z517" s="105">
        <v>4.2279999999999998</v>
      </c>
      <c r="AA517" s="104"/>
      <c r="AF517" s="105"/>
    </row>
    <row r="518" spans="2:32" x14ac:dyDescent="0.3">
      <c r="B518" s="111">
        <v>85.500000000000242</v>
      </c>
      <c r="C518" s="104"/>
      <c r="H518" s="105"/>
      <c r="I518" s="104"/>
      <c r="N518" s="105"/>
      <c r="O518" s="104">
        <v>16.11</v>
      </c>
      <c r="P518" s="75">
        <v>16.12</v>
      </c>
      <c r="Q518" s="75">
        <v>16.11</v>
      </c>
      <c r="R518" s="75">
        <v>2.94</v>
      </c>
      <c r="S518" s="75">
        <v>2.827</v>
      </c>
      <c r="T518" s="105">
        <v>2.778</v>
      </c>
      <c r="U518" s="104">
        <v>16.260000000000002</v>
      </c>
      <c r="V518" s="75">
        <v>16.27</v>
      </c>
      <c r="W518" s="75">
        <v>16.23</v>
      </c>
      <c r="X518" s="75">
        <v>5.0179999999999998</v>
      </c>
      <c r="Y518" s="75">
        <v>4.8869999999999996</v>
      </c>
      <c r="Z518" s="105">
        <v>4.415</v>
      </c>
      <c r="AA518" s="104"/>
      <c r="AF518" s="105"/>
    </row>
    <row r="519" spans="2:32" x14ac:dyDescent="0.3">
      <c r="B519" s="111">
        <v>85.666666666666913</v>
      </c>
      <c r="C519" s="104"/>
      <c r="H519" s="105"/>
      <c r="I519" s="104"/>
      <c r="N519" s="105"/>
      <c r="O519" s="104">
        <v>16.18</v>
      </c>
      <c r="P519" s="75">
        <v>16.2</v>
      </c>
      <c r="Q519" s="75">
        <v>16.18</v>
      </c>
      <c r="R519" s="75">
        <v>3.0190000000000001</v>
      </c>
      <c r="S519" s="75">
        <v>3.03</v>
      </c>
      <c r="T519" s="105">
        <v>2.7240000000000002</v>
      </c>
      <c r="U519" s="104">
        <v>16.329999999999998</v>
      </c>
      <c r="V519" s="75">
        <v>16.329999999999998</v>
      </c>
      <c r="W519" s="75">
        <v>16.29</v>
      </c>
      <c r="X519" s="75">
        <v>5.1440000000000001</v>
      </c>
      <c r="Y519" s="75">
        <v>5.1219999999999999</v>
      </c>
      <c r="Z519" s="105">
        <v>4.3769999999999998</v>
      </c>
      <c r="AA519" s="104"/>
      <c r="AF519" s="105"/>
    </row>
    <row r="520" spans="2:32" x14ac:dyDescent="0.3">
      <c r="B520" s="111">
        <v>85.833333333333584</v>
      </c>
      <c r="C520" s="104"/>
      <c r="H520" s="105"/>
      <c r="I520" s="104"/>
      <c r="N520" s="105"/>
      <c r="O520" s="104">
        <v>16.260000000000002</v>
      </c>
      <c r="P520" s="75">
        <v>16.27</v>
      </c>
      <c r="Q520" s="75">
        <v>16.25</v>
      </c>
      <c r="R520" s="75">
        <v>3.2469999999999999</v>
      </c>
      <c r="S520" s="75">
        <v>3.0670000000000002</v>
      </c>
      <c r="T520" s="105">
        <v>2.8439999999999999</v>
      </c>
      <c r="U520" s="104">
        <v>16.399999999999999</v>
      </c>
      <c r="V520" s="75">
        <v>16.399999999999999</v>
      </c>
      <c r="W520" s="75">
        <v>16.350000000000001</v>
      </c>
      <c r="X520" s="75">
        <v>5.4779999999999998</v>
      </c>
      <c r="Y520" s="75">
        <v>5.2309999999999999</v>
      </c>
      <c r="Z520" s="105">
        <v>4.6029999999999998</v>
      </c>
      <c r="AA520" s="104"/>
      <c r="AF520" s="105"/>
    </row>
    <row r="521" spans="2:32" x14ac:dyDescent="0.3">
      <c r="B521" s="111">
        <v>86.000000000000256</v>
      </c>
      <c r="C521" s="104"/>
      <c r="H521" s="105"/>
      <c r="I521" s="104"/>
      <c r="N521" s="105"/>
      <c r="O521" s="104">
        <v>16.329999999999998</v>
      </c>
      <c r="P521" s="75">
        <v>16.34</v>
      </c>
      <c r="Q521" s="75">
        <v>16.32</v>
      </c>
      <c r="R521" s="75">
        <v>3.2090000000000001</v>
      </c>
      <c r="S521" s="75">
        <v>3.069</v>
      </c>
      <c r="T521" s="105">
        <v>2.8639999999999999</v>
      </c>
      <c r="U521" s="104">
        <v>16.47</v>
      </c>
      <c r="V521" s="75">
        <v>16.47</v>
      </c>
      <c r="W521" s="75">
        <v>16.420000000000002</v>
      </c>
      <c r="X521" s="75">
        <v>5.5149999999999997</v>
      </c>
      <c r="Y521" s="75">
        <v>5.2930000000000001</v>
      </c>
      <c r="Z521" s="105">
        <v>4.694</v>
      </c>
      <c r="AA521" s="104"/>
      <c r="AF521" s="105"/>
    </row>
    <row r="522" spans="2:32" x14ac:dyDescent="0.3">
      <c r="B522" s="111">
        <v>86.166666666666927</v>
      </c>
      <c r="C522" s="104"/>
      <c r="H522" s="105"/>
      <c r="I522" s="104"/>
      <c r="N522" s="105"/>
      <c r="O522" s="104">
        <v>16.399999999999999</v>
      </c>
      <c r="P522" s="75">
        <v>16.41</v>
      </c>
      <c r="Q522" s="75">
        <v>16.399999999999999</v>
      </c>
      <c r="R522" s="75">
        <v>2.9350000000000001</v>
      </c>
      <c r="S522" s="75">
        <v>2.843</v>
      </c>
      <c r="T522" s="105">
        <v>3.0089999999999999</v>
      </c>
      <c r="U522" s="104">
        <v>16.53</v>
      </c>
      <c r="V522" s="75">
        <v>16.54</v>
      </c>
      <c r="W522" s="75">
        <v>16.489999999999998</v>
      </c>
      <c r="X522" s="75">
        <v>5.2610000000000001</v>
      </c>
      <c r="Y522" s="75">
        <v>5.1239999999999997</v>
      </c>
      <c r="Z522" s="105">
        <v>4.92</v>
      </c>
      <c r="AA522" s="104"/>
      <c r="AF522" s="105"/>
    </row>
    <row r="523" spans="2:32" x14ac:dyDescent="0.3">
      <c r="B523" s="111">
        <v>86.333333333333599</v>
      </c>
      <c r="C523" s="104"/>
      <c r="H523" s="105"/>
      <c r="I523" s="104"/>
      <c r="N523" s="105"/>
      <c r="O523" s="104">
        <v>16.47</v>
      </c>
      <c r="P523" s="75">
        <v>16.48</v>
      </c>
      <c r="Q523" s="75">
        <v>16.46</v>
      </c>
      <c r="R523" s="75">
        <v>2.9540000000000002</v>
      </c>
      <c r="S523" s="75">
        <v>2.9409999999999998</v>
      </c>
      <c r="T523" s="105">
        <v>2.9140000000000001</v>
      </c>
      <c r="U523" s="104">
        <v>16.59</v>
      </c>
      <c r="V523" s="75">
        <v>16.600000000000001</v>
      </c>
      <c r="W523" s="75">
        <v>16.55</v>
      </c>
      <c r="X523" s="75">
        <v>5.3029999999999999</v>
      </c>
      <c r="Y523" s="75">
        <v>5.3159999999999998</v>
      </c>
      <c r="Z523" s="105">
        <v>4.8460000000000001</v>
      </c>
      <c r="AA523" s="104"/>
      <c r="AF523" s="105"/>
    </row>
    <row r="524" spans="2:32" x14ac:dyDescent="0.3">
      <c r="B524" s="111">
        <v>86.50000000000027</v>
      </c>
      <c r="C524" s="104"/>
      <c r="H524" s="105"/>
      <c r="I524" s="104"/>
      <c r="N524" s="105"/>
      <c r="O524" s="104">
        <v>16.55</v>
      </c>
      <c r="P524" s="75">
        <v>16.55</v>
      </c>
      <c r="Q524" s="75">
        <v>16.53</v>
      </c>
      <c r="R524" s="75">
        <v>3.4449999999999998</v>
      </c>
      <c r="S524" s="75">
        <v>3.35</v>
      </c>
      <c r="T524" s="105">
        <v>2.98</v>
      </c>
      <c r="U524" s="104">
        <v>16.66</v>
      </c>
      <c r="V524" s="75">
        <v>16.670000000000002</v>
      </c>
      <c r="W524" s="75">
        <v>16.61</v>
      </c>
      <c r="X524" s="75">
        <v>5.9290000000000003</v>
      </c>
      <c r="Y524" s="75">
        <v>5.8159999999999998</v>
      </c>
      <c r="Z524" s="105">
        <v>4.9809999999999999</v>
      </c>
      <c r="AA524" s="104"/>
      <c r="AF524" s="105"/>
    </row>
    <row r="525" spans="2:32" x14ac:dyDescent="0.3">
      <c r="B525" s="111">
        <v>86.666666666666941</v>
      </c>
      <c r="C525" s="104"/>
      <c r="H525" s="105"/>
      <c r="I525" s="104"/>
      <c r="N525" s="105"/>
      <c r="O525" s="104">
        <v>16.64</v>
      </c>
      <c r="P525" s="75">
        <v>16.649999999999999</v>
      </c>
      <c r="Q525" s="75">
        <v>16.62</v>
      </c>
      <c r="R525" s="75">
        <v>3.6680000000000001</v>
      </c>
      <c r="S525" s="75">
        <v>3.5750000000000002</v>
      </c>
      <c r="T525" s="105">
        <v>3.4630000000000001</v>
      </c>
      <c r="U525" s="104">
        <v>16.739999999999998</v>
      </c>
      <c r="V525" s="75">
        <v>16.75</v>
      </c>
      <c r="W525" s="75">
        <v>16.690000000000001</v>
      </c>
      <c r="X525" s="75">
        <v>6.38</v>
      </c>
      <c r="Y525" s="75">
        <v>6.2370000000000001</v>
      </c>
      <c r="Z525" s="105">
        <v>5.6989999999999998</v>
      </c>
      <c r="AA525" s="104"/>
      <c r="AF525" s="105"/>
    </row>
    <row r="526" spans="2:32" x14ac:dyDescent="0.3">
      <c r="B526" s="111">
        <v>86.833333333333613</v>
      </c>
      <c r="C526" s="104"/>
      <c r="H526" s="105"/>
      <c r="I526" s="104"/>
      <c r="N526" s="105"/>
      <c r="O526" s="104">
        <v>16.71</v>
      </c>
      <c r="P526" s="75">
        <v>16.73</v>
      </c>
      <c r="Q526" s="75">
        <v>16.7</v>
      </c>
      <c r="R526" s="75">
        <v>3.37</v>
      </c>
      <c r="S526" s="75">
        <v>3.327</v>
      </c>
      <c r="T526" s="105">
        <v>3.1520000000000001</v>
      </c>
      <c r="U526" s="104">
        <v>16.809999999999999</v>
      </c>
      <c r="V526" s="75">
        <v>16.82</v>
      </c>
      <c r="W526" s="75">
        <v>16.760000000000002</v>
      </c>
      <c r="X526" s="75">
        <v>6.1669999999999998</v>
      </c>
      <c r="Y526" s="75">
        <v>6.1120000000000001</v>
      </c>
      <c r="Z526" s="105">
        <v>5.4710000000000001</v>
      </c>
      <c r="AA526" s="104"/>
      <c r="AF526" s="105"/>
    </row>
    <row r="527" spans="2:32" x14ac:dyDescent="0.3">
      <c r="B527" s="111">
        <v>87.000000000000284</v>
      </c>
      <c r="C527" s="104"/>
      <c r="H527" s="105"/>
      <c r="I527" s="104"/>
      <c r="N527" s="105"/>
      <c r="O527" s="104">
        <v>16.79</v>
      </c>
      <c r="P527" s="75">
        <v>16.8</v>
      </c>
      <c r="Q527" s="75">
        <v>16.77</v>
      </c>
      <c r="R527" s="75">
        <v>3.371</v>
      </c>
      <c r="S527" s="75">
        <v>3.222</v>
      </c>
      <c r="T527" s="105">
        <v>3.274</v>
      </c>
      <c r="U527" s="104">
        <v>16.88</v>
      </c>
      <c r="V527" s="75">
        <v>16.89</v>
      </c>
      <c r="W527" s="75">
        <v>16.82</v>
      </c>
      <c r="X527" s="75">
        <v>6.32</v>
      </c>
      <c r="Y527" s="75">
        <v>6.13</v>
      </c>
      <c r="Z527" s="105">
        <v>5.69</v>
      </c>
      <c r="AA527" s="104"/>
      <c r="AF527" s="105"/>
    </row>
    <row r="528" spans="2:32" x14ac:dyDescent="0.3">
      <c r="B528" s="111">
        <v>87.166666666666956</v>
      </c>
      <c r="C528" s="104"/>
      <c r="H528" s="105"/>
      <c r="I528" s="104"/>
      <c r="N528" s="105"/>
      <c r="O528" s="104">
        <v>16.86</v>
      </c>
      <c r="P528" s="75">
        <v>16.87</v>
      </c>
      <c r="Q528" s="75">
        <v>16.850000000000001</v>
      </c>
      <c r="R528" s="75">
        <v>3.2349999999999999</v>
      </c>
      <c r="S528" s="75">
        <v>3.2690000000000001</v>
      </c>
      <c r="T528" s="105">
        <v>3.3340000000000001</v>
      </c>
      <c r="U528" s="104">
        <v>16.95</v>
      </c>
      <c r="V528" s="75">
        <v>16.95</v>
      </c>
      <c r="W528" s="75">
        <v>16.89</v>
      </c>
      <c r="X528" s="75">
        <v>6.2240000000000002</v>
      </c>
      <c r="Y528" s="75">
        <v>6.3129999999999997</v>
      </c>
      <c r="Z528" s="105">
        <v>5.8819999999999997</v>
      </c>
      <c r="AA528" s="104"/>
      <c r="AF528" s="105"/>
    </row>
    <row r="529" spans="2:32" x14ac:dyDescent="0.3">
      <c r="B529" s="111">
        <v>87.333333333333627</v>
      </c>
      <c r="C529" s="104"/>
      <c r="H529" s="105"/>
      <c r="I529" s="104"/>
      <c r="N529" s="105"/>
      <c r="O529" s="104">
        <v>16.93</v>
      </c>
      <c r="P529" s="75">
        <v>16.940000000000001</v>
      </c>
      <c r="Q529" s="75">
        <v>16.920000000000002</v>
      </c>
      <c r="R529" s="75">
        <v>3.218</v>
      </c>
      <c r="S529" s="75">
        <v>3.15</v>
      </c>
      <c r="T529" s="105">
        <v>3.3650000000000002</v>
      </c>
      <c r="U529" s="104">
        <v>17</v>
      </c>
      <c r="V529" s="75">
        <v>17.010000000000002</v>
      </c>
      <c r="W529" s="75">
        <v>16.96</v>
      </c>
      <c r="X529" s="75">
        <v>6.3159999999999998</v>
      </c>
      <c r="Y529" s="75">
        <v>6.2830000000000004</v>
      </c>
      <c r="Z529" s="105">
        <v>6.0570000000000004</v>
      </c>
      <c r="AA529" s="104"/>
      <c r="AF529" s="105"/>
    </row>
    <row r="530" spans="2:32" x14ac:dyDescent="0.3">
      <c r="B530" s="111">
        <v>87.500000000000298</v>
      </c>
      <c r="C530" s="104"/>
      <c r="H530" s="105"/>
      <c r="I530" s="104"/>
      <c r="N530" s="105"/>
      <c r="O530" s="104">
        <v>17</v>
      </c>
      <c r="P530" s="75">
        <v>17.02</v>
      </c>
      <c r="Q530" s="75">
        <v>16.989999999999998</v>
      </c>
      <c r="R530" s="75">
        <v>3.2919999999999998</v>
      </c>
      <c r="S530" s="75">
        <v>3.2949999999999999</v>
      </c>
      <c r="T530" s="105">
        <v>3.1</v>
      </c>
      <c r="U530" s="104">
        <v>17.059999999999999</v>
      </c>
      <c r="V530" s="75">
        <v>17.079999999999998</v>
      </c>
      <c r="W530" s="75">
        <v>17.02</v>
      </c>
      <c r="X530" s="75">
        <v>6.5549999999999997</v>
      </c>
      <c r="Y530" s="75">
        <v>6.5940000000000003</v>
      </c>
      <c r="Z530" s="105">
        <v>5.9459999999999997</v>
      </c>
      <c r="AA530" s="104"/>
      <c r="AF530" s="105"/>
    </row>
    <row r="531" spans="2:32" x14ac:dyDescent="0.3">
      <c r="B531" s="111">
        <v>87.66666666666697</v>
      </c>
      <c r="C531" s="104"/>
      <c r="H531" s="105"/>
      <c r="I531" s="104"/>
      <c r="N531" s="105"/>
      <c r="O531" s="104">
        <v>17.07</v>
      </c>
      <c r="P531" s="75">
        <v>17.09</v>
      </c>
      <c r="Q531" s="75">
        <v>17.07</v>
      </c>
      <c r="R531" s="75">
        <v>3.21</v>
      </c>
      <c r="S531" s="75">
        <v>3.1230000000000002</v>
      </c>
      <c r="T531" s="105">
        <v>3.3109999999999999</v>
      </c>
      <c r="U531" s="104">
        <v>17.12</v>
      </c>
      <c r="V531" s="75">
        <v>17.14</v>
      </c>
      <c r="W531" s="75">
        <v>17.09</v>
      </c>
      <c r="X531" s="75">
        <v>6.6479999999999997</v>
      </c>
      <c r="Y531" s="75">
        <v>6.6340000000000003</v>
      </c>
      <c r="Z531" s="105">
        <v>6.2910000000000004</v>
      </c>
      <c r="AA531" s="104"/>
      <c r="AF531" s="105"/>
    </row>
    <row r="532" spans="2:32" x14ac:dyDescent="0.3">
      <c r="B532" s="111">
        <v>87.833333333333641</v>
      </c>
      <c r="C532" s="104"/>
      <c r="H532" s="105"/>
      <c r="I532" s="104"/>
      <c r="N532" s="105"/>
      <c r="O532" s="104">
        <v>17.14</v>
      </c>
      <c r="P532" s="75">
        <v>17.170000000000002</v>
      </c>
      <c r="Q532" s="75">
        <v>17.14</v>
      </c>
      <c r="R532" s="75">
        <v>3.0649999999999999</v>
      </c>
      <c r="S532" s="75">
        <v>3.1869999999999998</v>
      </c>
      <c r="T532" s="105">
        <v>3.3940000000000001</v>
      </c>
      <c r="U532" s="104">
        <v>17.18</v>
      </c>
      <c r="V532" s="75">
        <v>17.2</v>
      </c>
      <c r="W532" s="75">
        <v>17.149999999999999</v>
      </c>
      <c r="X532" s="75">
        <v>6.6680000000000001</v>
      </c>
      <c r="Y532" s="75">
        <v>6.8710000000000004</v>
      </c>
      <c r="Z532" s="105">
        <v>6.585</v>
      </c>
      <c r="AA532" s="104"/>
      <c r="AF532" s="105"/>
    </row>
    <row r="533" spans="2:32" x14ac:dyDescent="0.3">
      <c r="B533" s="111">
        <v>88.000000000000313</v>
      </c>
      <c r="C533" s="104"/>
      <c r="H533" s="105"/>
      <c r="I533" s="104"/>
      <c r="N533" s="105"/>
      <c r="O533" s="104">
        <v>17.2</v>
      </c>
      <c r="P533" s="75">
        <v>17.23</v>
      </c>
      <c r="Q533" s="75">
        <v>17.21</v>
      </c>
      <c r="R533" s="75">
        <v>2.992</v>
      </c>
      <c r="S533" s="75">
        <v>3.02</v>
      </c>
      <c r="T533" s="105">
        <v>3.2040000000000002</v>
      </c>
      <c r="U533" s="104">
        <v>17.239999999999998</v>
      </c>
      <c r="V533" s="75">
        <v>17.260000000000002</v>
      </c>
      <c r="W533" s="75">
        <v>17.21</v>
      </c>
      <c r="X533" s="75">
        <v>6.7629999999999999</v>
      </c>
      <c r="Y533" s="75">
        <v>6.8739999999999997</v>
      </c>
      <c r="Z533" s="105">
        <v>6.6</v>
      </c>
      <c r="AA533" s="104"/>
      <c r="AF533" s="105"/>
    </row>
    <row r="534" spans="2:32" x14ac:dyDescent="0.3">
      <c r="B534" s="111">
        <v>88.166666666666984</v>
      </c>
      <c r="C534" s="104"/>
      <c r="H534" s="105"/>
      <c r="I534" s="104"/>
      <c r="N534" s="105"/>
      <c r="O534" s="104">
        <v>17.27</v>
      </c>
      <c r="P534" s="75">
        <v>17.3</v>
      </c>
      <c r="Q534" s="75">
        <v>17.27</v>
      </c>
      <c r="R534" s="75">
        <v>3.238</v>
      </c>
      <c r="S534" s="75">
        <v>3.044</v>
      </c>
      <c r="T534" s="105">
        <v>2.984</v>
      </c>
      <c r="U534" s="104">
        <v>17.3</v>
      </c>
      <c r="V534" s="75">
        <v>17.309999999999999</v>
      </c>
      <c r="W534" s="75">
        <v>17.260000000000002</v>
      </c>
      <c r="X534" s="75">
        <v>7.2480000000000002</v>
      </c>
      <c r="Y534" s="75">
        <v>7.0869999999999997</v>
      </c>
      <c r="Z534" s="105">
        <v>6.5359999999999996</v>
      </c>
      <c r="AA534" s="104"/>
      <c r="AF534" s="105"/>
    </row>
    <row r="535" spans="2:32" x14ac:dyDescent="0.3">
      <c r="B535" s="111">
        <v>88.333333333333655</v>
      </c>
      <c r="C535" s="104"/>
      <c r="H535" s="105"/>
      <c r="I535" s="104"/>
      <c r="N535" s="105"/>
      <c r="O535" s="104">
        <v>17.34</v>
      </c>
      <c r="P535" s="75">
        <v>17.36</v>
      </c>
      <c r="Q535" s="75">
        <v>17.350000000000001</v>
      </c>
      <c r="R535" s="75">
        <v>3.3719999999999999</v>
      </c>
      <c r="S535" s="75">
        <v>3.0790000000000002</v>
      </c>
      <c r="T535" s="105">
        <v>3.2229999999999999</v>
      </c>
      <c r="U535" s="104">
        <v>17.36</v>
      </c>
      <c r="V535" s="75">
        <v>17.37</v>
      </c>
      <c r="W535" s="75">
        <v>17.32</v>
      </c>
      <c r="X535" s="75">
        <v>7.625</v>
      </c>
      <c r="Y535" s="75">
        <v>7.391</v>
      </c>
      <c r="Z535" s="105">
        <v>7.0730000000000004</v>
      </c>
      <c r="AA535" s="104"/>
      <c r="AF535" s="105"/>
    </row>
    <row r="536" spans="2:32" x14ac:dyDescent="0.3">
      <c r="B536" s="111">
        <v>88.500000000000327</v>
      </c>
      <c r="C536" s="104"/>
      <c r="H536" s="105"/>
      <c r="I536" s="104"/>
      <c r="N536" s="105"/>
      <c r="O536" s="104">
        <v>17.41</v>
      </c>
      <c r="P536" s="75">
        <v>17.440000000000001</v>
      </c>
      <c r="Q536" s="75">
        <v>17.420000000000002</v>
      </c>
      <c r="R536" s="75">
        <v>3.1459999999999999</v>
      </c>
      <c r="S536" s="75">
        <v>3.0950000000000002</v>
      </c>
      <c r="T536" s="105">
        <v>3.3420000000000001</v>
      </c>
      <c r="U536" s="104">
        <v>17.41</v>
      </c>
      <c r="V536" s="75">
        <v>17.420000000000002</v>
      </c>
      <c r="W536" s="75">
        <v>17.38</v>
      </c>
      <c r="X536" s="75">
        <v>7.7370000000000001</v>
      </c>
      <c r="Y536" s="75">
        <v>7.6680000000000001</v>
      </c>
      <c r="Z536" s="105">
        <v>7.4530000000000003</v>
      </c>
      <c r="AA536" s="104"/>
      <c r="AF536" s="105"/>
    </row>
    <row r="537" spans="2:32" x14ac:dyDescent="0.3">
      <c r="B537" s="111">
        <v>88.666666666666998</v>
      </c>
      <c r="C537" s="104"/>
      <c r="H537" s="105"/>
      <c r="I537" s="104"/>
      <c r="N537" s="105"/>
      <c r="O537" s="104">
        <v>17.48</v>
      </c>
      <c r="P537" s="75">
        <v>17.5</v>
      </c>
      <c r="Q537" s="75">
        <v>17.5</v>
      </c>
      <c r="R537" s="75">
        <v>3.081</v>
      </c>
      <c r="S537" s="75">
        <v>2.9009999999999998</v>
      </c>
      <c r="T537" s="105">
        <v>3.375</v>
      </c>
      <c r="U537" s="104">
        <v>17.47</v>
      </c>
      <c r="V537" s="75">
        <v>17.47</v>
      </c>
      <c r="W537" s="75">
        <v>17.440000000000001</v>
      </c>
      <c r="X537" s="75">
        <v>7.9729999999999999</v>
      </c>
      <c r="Y537" s="75">
        <v>7.7270000000000003</v>
      </c>
      <c r="Z537" s="105">
        <v>7.8470000000000004</v>
      </c>
      <c r="AA537" s="104"/>
      <c r="AF537" s="105"/>
    </row>
    <row r="538" spans="2:32" x14ac:dyDescent="0.3">
      <c r="B538" s="111">
        <v>88.83333333333367</v>
      </c>
      <c r="C538" s="104"/>
      <c r="H538" s="105"/>
      <c r="I538" s="104"/>
      <c r="N538" s="105"/>
      <c r="O538" s="104">
        <v>17.55</v>
      </c>
      <c r="P538" s="75">
        <v>17.57</v>
      </c>
      <c r="Q538" s="75">
        <v>17.559999999999999</v>
      </c>
      <c r="R538" s="75">
        <v>3.2919999999999998</v>
      </c>
      <c r="S538" s="75">
        <v>3.254</v>
      </c>
      <c r="T538" s="105">
        <v>3.1909999999999998</v>
      </c>
      <c r="U538" s="104">
        <v>17.52</v>
      </c>
      <c r="V538" s="75">
        <v>17.53</v>
      </c>
      <c r="W538" s="75">
        <v>17.489999999999998</v>
      </c>
      <c r="X538" s="75">
        <v>8.48</v>
      </c>
      <c r="Y538" s="75">
        <v>8.41</v>
      </c>
      <c r="Z538" s="105">
        <v>7.9880000000000004</v>
      </c>
      <c r="AA538" s="104"/>
      <c r="AF538" s="105"/>
    </row>
    <row r="539" spans="2:32" x14ac:dyDescent="0.3">
      <c r="B539" s="111">
        <v>89.000000000000341</v>
      </c>
      <c r="C539" s="104"/>
      <c r="H539" s="105"/>
      <c r="I539" s="104"/>
      <c r="N539" s="105"/>
      <c r="O539" s="104">
        <v>17.62</v>
      </c>
      <c r="P539" s="75">
        <v>17.64</v>
      </c>
      <c r="Q539" s="75">
        <v>17.63</v>
      </c>
      <c r="R539" s="75">
        <v>3.3010000000000002</v>
      </c>
      <c r="S539" s="75">
        <v>3.0790000000000002</v>
      </c>
      <c r="T539" s="105">
        <v>3.1970000000000001</v>
      </c>
      <c r="U539" s="104">
        <v>17.57</v>
      </c>
      <c r="V539" s="75">
        <v>17.579999999999998</v>
      </c>
      <c r="W539" s="75">
        <v>17.54</v>
      </c>
      <c r="X539" s="75">
        <v>8.82</v>
      </c>
      <c r="Y539" s="75">
        <v>8.6</v>
      </c>
      <c r="Z539" s="105">
        <v>8.34</v>
      </c>
      <c r="AA539" s="104"/>
      <c r="AF539" s="105"/>
    </row>
    <row r="540" spans="2:32" x14ac:dyDescent="0.3">
      <c r="B540" s="111">
        <v>89.166666666667012</v>
      </c>
      <c r="C540" s="104"/>
      <c r="H540" s="105"/>
      <c r="I540" s="104"/>
      <c r="N540" s="105"/>
      <c r="O540" s="104">
        <v>17.690000000000001</v>
      </c>
      <c r="P540" s="75">
        <v>17.7</v>
      </c>
      <c r="Q540" s="75">
        <v>17.7</v>
      </c>
      <c r="R540" s="75">
        <v>3.4689999999999999</v>
      </c>
      <c r="S540" s="75">
        <v>3.2490000000000001</v>
      </c>
      <c r="T540" s="105">
        <v>3.3050000000000002</v>
      </c>
      <c r="U540" s="104">
        <v>17.62</v>
      </c>
      <c r="V540" s="75">
        <v>17.63</v>
      </c>
      <c r="W540" s="75">
        <v>17.600000000000001</v>
      </c>
      <c r="X540" s="75">
        <v>9.3699999999999992</v>
      </c>
      <c r="Y540" s="75">
        <v>9.15</v>
      </c>
      <c r="Z540" s="105">
        <v>8.81</v>
      </c>
      <c r="AA540" s="104"/>
      <c r="AF540" s="105"/>
    </row>
    <row r="541" spans="2:32" x14ac:dyDescent="0.3">
      <c r="B541" s="111">
        <v>89.333333333333684</v>
      </c>
      <c r="C541" s="104"/>
      <c r="H541" s="105"/>
      <c r="I541" s="104"/>
      <c r="N541" s="105"/>
      <c r="O541" s="104">
        <v>17.78</v>
      </c>
      <c r="P541" s="75">
        <v>17.8</v>
      </c>
      <c r="Q541" s="75">
        <v>17.8</v>
      </c>
      <c r="R541" s="75">
        <v>3.8849999999999998</v>
      </c>
      <c r="S541" s="75">
        <v>3.6589999999999998</v>
      </c>
      <c r="T541" s="105">
        <v>4.0330000000000004</v>
      </c>
      <c r="U541" s="104">
        <v>17.690000000000001</v>
      </c>
      <c r="V541" s="75">
        <v>17.7</v>
      </c>
      <c r="W541" s="75">
        <v>17.670000000000002</v>
      </c>
      <c r="X541" s="75">
        <v>10.42</v>
      </c>
      <c r="Y541" s="75">
        <v>10.11</v>
      </c>
      <c r="Z541" s="105">
        <v>10.1</v>
      </c>
      <c r="AA541" s="104"/>
      <c r="AF541" s="105"/>
    </row>
    <row r="542" spans="2:32" x14ac:dyDescent="0.3">
      <c r="B542" s="111">
        <v>89.500000000000355</v>
      </c>
      <c r="C542" s="104"/>
      <c r="H542" s="105"/>
      <c r="I542" s="104"/>
      <c r="N542" s="105"/>
      <c r="O542" s="104">
        <v>17.87</v>
      </c>
      <c r="P542" s="75">
        <v>17.88</v>
      </c>
      <c r="Q542" s="75">
        <v>17.88</v>
      </c>
      <c r="R542" s="75">
        <v>3.7759999999999998</v>
      </c>
      <c r="S542" s="75">
        <v>3.6739999999999999</v>
      </c>
      <c r="T542" s="105">
        <v>3.68</v>
      </c>
      <c r="U542" s="104">
        <v>17.75</v>
      </c>
      <c r="V542" s="75">
        <v>17.739999999999998</v>
      </c>
      <c r="W542" s="75">
        <v>17.72</v>
      </c>
      <c r="X542" s="75">
        <v>10.92</v>
      </c>
      <c r="Y542" s="75">
        <v>10.69</v>
      </c>
      <c r="Z542" s="105">
        <v>10.28</v>
      </c>
      <c r="AA542" s="104"/>
      <c r="AF542" s="105"/>
    </row>
    <row r="543" spans="2:32" x14ac:dyDescent="0.3">
      <c r="B543" s="111">
        <v>89.666666666667027</v>
      </c>
      <c r="C543" s="104"/>
      <c r="H543" s="105"/>
      <c r="I543" s="104"/>
      <c r="N543" s="105"/>
      <c r="O543" s="104">
        <v>17.940000000000001</v>
      </c>
      <c r="P543" s="75">
        <v>17.96</v>
      </c>
      <c r="Q543" s="75">
        <v>17.95</v>
      </c>
      <c r="R543" s="75">
        <v>3.855</v>
      </c>
      <c r="S543" s="75">
        <v>3.6909999999999998</v>
      </c>
      <c r="T543" s="105">
        <v>3.5950000000000002</v>
      </c>
      <c r="U543" s="104">
        <v>17.8</v>
      </c>
      <c r="V543" s="75">
        <v>17.8</v>
      </c>
      <c r="W543" s="75">
        <v>17.760000000000002</v>
      </c>
      <c r="X543" s="75">
        <v>11.55</v>
      </c>
      <c r="Y543" s="75">
        <v>11.26</v>
      </c>
      <c r="Z543" s="105">
        <v>10.71</v>
      </c>
      <c r="AA543" s="104"/>
      <c r="AF543" s="105"/>
    </row>
    <row r="544" spans="2:32" x14ac:dyDescent="0.3">
      <c r="B544" s="111">
        <v>89.833333333333698</v>
      </c>
      <c r="C544" s="104"/>
      <c r="H544" s="105"/>
      <c r="I544" s="104"/>
      <c r="N544" s="105"/>
      <c r="O544" s="104">
        <v>18.02</v>
      </c>
      <c r="P544" s="75">
        <v>18.03</v>
      </c>
      <c r="Q544" s="75">
        <v>18.03</v>
      </c>
      <c r="R544" s="75">
        <v>3.7759999999999998</v>
      </c>
      <c r="S544" s="75">
        <v>3.556</v>
      </c>
      <c r="T544" s="105">
        <v>3.492</v>
      </c>
      <c r="U544" s="104">
        <v>17.850000000000001</v>
      </c>
      <c r="V544" s="75">
        <v>17.84</v>
      </c>
      <c r="W544" s="75">
        <v>17.809999999999999</v>
      </c>
      <c r="X544" s="75">
        <v>12.02</v>
      </c>
      <c r="Y544" s="75">
        <v>11.66</v>
      </c>
      <c r="Z544" s="105">
        <v>11.17</v>
      </c>
      <c r="AA544" s="104"/>
      <c r="AF544" s="105"/>
    </row>
    <row r="545" spans="2:32" x14ac:dyDescent="0.3">
      <c r="B545" s="111">
        <v>90.000000000000369</v>
      </c>
      <c r="C545" s="104"/>
      <c r="H545" s="105"/>
      <c r="I545" s="104"/>
      <c r="N545" s="105"/>
      <c r="O545" s="104">
        <v>18.09</v>
      </c>
      <c r="P545" s="75">
        <v>18.100000000000001</v>
      </c>
      <c r="Q545" s="75">
        <v>18.100000000000001</v>
      </c>
      <c r="R545" s="75">
        <v>3.702</v>
      </c>
      <c r="S545" s="75">
        <v>3.4460000000000002</v>
      </c>
      <c r="T545" s="105">
        <v>3.6030000000000002</v>
      </c>
      <c r="U545" s="104">
        <v>17.89</v>
      </c>
      <c r="V545" s="75">
        <v>17.89</v>
      </c>
      <c r="W545" s="75">
        <v>17.86</v>
      </c>
      <c r="X545" s="75">
        <v>12.47</v>
      </c>
      <c r="Y545" s="75">
        <v>12.15</v>
      </c>
      <c r="Z545" s="105">
        <v>11.79</v>
      </c>
      <c r="AA545" s="104"/>
      <c r="AF545" s="105"/>
    </row>
    <row r="546" spans="2:32" x14ac:dyDescent="0.3">
      <c r="B546" s="111">
        <v>90.166666666667041</v>
      </c>
      <c r="C546" s="104"/>
      <c r="H546" s="105"/>
      <c r="I546" s="104"/>
      <c r="N546" s="105"/>
      <c r="O546" s="104">
        <v>18.170000000000002</v>
      </c>
      <c r="P546" s="75">
        <v>18.18</v>
      </c>
      <c r="Q546" s="75">
        <v>18.170000000000002</v>
      </c>
      <c r="R546" s="75">
        <v>3.6110000000000002</v>
      </c>
      <c r="S546" s="75">
        <v>3.5670000000000002</v>
      </c>
      <c r="T546" s="105">
        <v>3.5990000000000002</v>
      </c>
      <c r="U546" s="104">
        <v>17.940000000000001</v>
      </c>
      <c r="V546" s="75">
        <v>17.940000000000001</v>
      </c>
      <c r="W546" s="75">
        <v>17.91</v>
      </c>
      <c r="X546" s="75">
        <v>13.06</v>
      </c>
      <c r="Y546" s="75">
        <v>12.86</v>
      </c>
      <c r="Z546" s="105">
        <v>12.36</v>
      </c>
      <c r="AA546" s="104"/>
      <c r="AF546" s="105"/>
    </row>
    <row r="547" spans="2:32" x14ac:dyDescent="0.3">
      <c r="B547" s="111">
        <v>90.333333333333712</v>
      </c>
      <c r="C547" s="104"/>
      <c r="H547" s="105"/>
      <c r="I547" s="104"/>
      <c r="N547" s="105"/>
      <c r="O547" s="104">
        <v>18.239999999999998</v>
      </c>
      <c r="P547" s="75">
        <v>18.25</v>
      </c>
      <c r="Q547" s="75">
        <v>18.239999999999998</v>
      </c>
      <c r="R547" s="75">
        <v>3.7410000000000001</v>
      </c>
      <c r="S547" s="75">
        <v>3.56</v>
      </c>
      <c r="T547" s="105">
        <v>3.3839999999999999</v>
      </c>
      <c r="U547" s="104">
        <v>17.98</v>
      </c>
      <c r="V547" s="75">
        <v>17.98</v>
      </c>
      <c r="W547" s="75">
        <v>17.95</v>
      </c>
      <c r="X547" s="75">
        <v>13.82</v>
      </c>
      <c r="Y547" s="75">
        <v>13.43</v>
      </c>
      <c r="Z547" s="105">
        <v>12.77</v>
      </c>
      <c r="AA547" s="104"/>
      <c r="AF547" s="105"/>
    </row>
    <row r="548" spans="2:32" x14ac:dyDescent="0.3">
      <c r="B548" s="111">
        <v>90.500000000000384</v>
      </c>
      <c r="C548" s="104"/>
      <c r="H548" s="105"/>
      <c r="I548" s="104"/>
      <c r="N548" s="105"/>
      <c r="O548" s="104">
        <v>18.309999999999999</v>
      </c>
      <c r="P548" s="75">
        <v>18.309999999999999</v>
      </c>
      <c r="Q548" s="75">
        <v>18.3</v>
      </c>
      <c r="R548" s="75">
        <v>3.516</v>
      </c>
      <c r="S548" s="75">
        <v>3.4929999999999999</v>
      </c>
      <c r="T548" s="105">
        <v>3.2309999999999999</v>
      </c>
      <c r="U548" s="104">
        <v>18.02</v>
      </c>
      <c r="V548" s="75">
        <v>18.010000000000002</v>
      </c>
      <c r="W548" s="75">
        <v>17.98</v>
      </c>
      <c r="X548" s="75">
        <v>14.21</v>
      </c>
      <c r="Y548" s="75">
        <v>14</v>
      </c>
      <c r="Z548" s="105">
        <v>13.08</v>
      </c>
      <c r="AA548" s="104"/>
      <c r="AF548" s="105"/>
    </row>
    <row r="549" spans="2:32" x14ac:dyDescent="0.3">
      <c r="B549" s="111">
        <v>90.666666666667055</v>
      </c>
      <c r="C549" s="104"/>
      <c r="H549" s="105"/>
      <c r="I549" s="104"/>
      <c r="N549" s="105"/>
      <c r="O549" s="104">
        <v>18.38</v>
      </c>
      <c r="P549" s="75">
        <v>18.39</v>
      </c>
      <c r="Q549" s="75">
        <v>18.37</v>
      </c>
      <c r="R549" s="75">
        <v>3.5390000000000001</v>
      </c>
      <c r="S549" s="75">
        <v>3.45</v>
      </c>
      <c r="T549" s="105">
        <v>3.3730000000000002</v>
      </c>
      <c r="U549" s="104">
        <v>18.059999999999999</v>
      </c>
      <c r="V549" s="75">
        <v>18.059999999999999</v>
      </c>
      <c r="W549" s="75">
        <v>18.02</v>
      </c>
      <c r="X549" s="75">
        <v>14.83</v>
      </c>
      <c r="Y549" s="75">
        <v>14.6</v>
      </c>
      <c r="Z549" s="105">
        <v>13.89</v>
      </c>
      <c r="AA549" s="104"/>
      <c r="AF549" s="105"/>
    </row>
    <row r="550" spans="2:32" x14ac:dyDescent="0.3">
      <c r="B550" s="111">
        <v>90.833333333333727</v>
      </c>
      <c r="C550" s="104"/>
      <c r="H550" s="105"/>
      <c r="I550" s="104"/>
      <c r="N550" s="105"/>
      <c r="O550" s="104">
        <v>18.45</v>
      </c>
      <c r="P550" s="75">
        <v>18.46</v>
      </c>
      <c r="Q550" s="75">
        <v>18.440000000000001</v>
      </c>
      <c r="R550" s="75">
        <v>3.5169999999999999</v>
      </c>
      <c r="S550" s="75">
        <v>3.484</v>
      </c>
      <c r="T550" s="105">
        <v>3.431</v>
      </c>
      <c r="U550" s="104">
        <v>18.100000000000001</v>
      </c>
      <c r="V550" s="75">
        <v>18.100000000000001</v>
      </c>
      <c r="W550" s="75">
        <v>18.059999999999999</v>
      </c>
      <c r="X550" s="75">
        <v>15.59</v>
      </c>
      <c r="Y550" s="75">
        <v>15.31</v>
      </c>
      <c r="Z550" s="105">
        <v>14.58</v>
      </c>
      <c r="AA550" s="104"/>
      <c r="AF550" s="105"/>
    </row>
    <row r="551" spans="2:32" x14ac:dyDescent="0.3">
      <c r="B551" s="111">
        <v>91.000000000000398</v>
      </c>
      <c r="C551" s="104"/>
      <c r="H551" s="105"/>
      <c r="I551" s="104"/>
      <c r="N551" s="105"/>
      <c r="O551" s="104">
        <v>18.52</v>
      </c>
      <c r="P551" s="75">
        <v>18.53</v>
      </c>
      <c r="Q551" s="75">
        <v>18.510000000000002</v>
      </c>
      <c r="R551" s="75">
        <v>3.5950000000000002</v>
      </c>
      <c r="S551" s="75">
        <v>3.5619999999999998</v>
      </c>
      <c r="T551" s="105">
        <v>3.4580000000000002</v>
      </c>
      <c r="U551" s="104">
        <v>18.13</v>
      </c>
      <c r="V551" s="75">
        <v>18.13</v>
      </c>
      <c r="W551" s="75">
        <v>18.100000000000001</v>
      </c>
      <c r="X551" s="75">
        <v>16.27</v>
      </c>
      <c r="Y551" s="75">
        <v>16.059999999999999</v>
      </c>
      <c r="Z551" s="105">
        <v>15.27</v>
      </c>
      <c r="AA551" s="104"/>
      <c r="AF551" s="105"/>
    </row>
    <row r="552" spans="2:32" x14ac:dyDescent="0.3">
      <c r="B552" s="111">
        <v>91.166666666667069</v>
      </c>
      <c r="C552" s="104"/>
      <c r="H552" s="105"/>
      <c r="I552" s="104"/>
      <c r="N552" s="105"/>
      <c r="O552" s="104">
        <v>18.59</v>
      </c>
      <c r="P552" s="75">
        <v>18.600000000000001</v>
      </c>
      <c r="Q552" s="75">
        <v>18.579999999999998</v>
      </c>
      <c r="R552" s="75">
        <v>3.5670000000000002</v>
      </c>
      <c r="S552" s="75">
        <v>3.5510000000000002</v>
      </c>
      <c r="T552" s="105">
        <v>3.47</v>
      </c>
      <c r="U552" s="104">
        <v>18.170000000000002</v>
      </c>
      <c r="V552" s="75">
        <v>18.170000000000002</v>
      </c>
      <c r="W552" s="75">
        <v>18.13</v>
      </c>
      <c r="X552" s="75">
        <v>16.97</v>
      </c>
      <c r="Y552" s="75">
        <v>16.72</v>
      </c>
      <c r="Z552" s="105">
        <v>15.96</v>
      </c>
      <c r="AA552" s="104"/>
      <c r="AF552" s="105"/>
    </row>
    <row r="553" spans="2:32" x14ac:dyDescent="0.3">
      <c r="B553" s="111">
        <v>91.333333333333741</v>
      </c>
      <c r="C553" s="104"/>
      <c r="H553" s="105"/>
      <c r="I553" s="104"/>
      <c r="N553" s="105"/>
      <c r="O553" s="104">
        <v>18.66</v>
      </c>
      <c r="P553" s="75">
        <v>18.670000000000002</v>
      </c>
      <c r="Q553" s="75">
        <v>18.670000000000002</v>
      </c>
      <c r="R553" s="75">
        <v>3.585</v>
      </c>
      <c r="S553" s="75">
        <v>3.4609999999999999</v>
      </c>
      <c r="T553" s="105">
        <v>3.8849999999999998</v>
      </c>
      <c r="U553" s="104">
        <v>18.21</v>
      </c>
      <c r="V553" s="75">
        <v>18.2</v>
      </c>
      <c r="W553" s="75">
        <v>18.18</v>
      </c>
      <c r="X553" s="75">
        <v>17.77</v>
      </c>
      <c r="Y553" s="75">
        <v>17.36</v>
      </c>
      <c r="Z553" s="105">
        <v>17.309999999999999</v>
      </c>
      <c r="AA553" s="104"/>
      <c r="AF553" s="105"/>
    </row>
    <row r="554" spans="2:32" x14ac:dyDescent="0.3">
      <c r="B554" s="111">
        <v>91.500000000000412</v>
      </c>
      <c r="C554" s="104"/>
      <c r="H554" s="105"/>
      <c r="I554" s="104"/>
      <c r="N554" s="105"/>
      <c r="O554" s="104">
        <v>18.73</v>
      </c>
      <c r="P554" s="75">
        <v>18.75</v>
      </c>
      <c r="Q554" s="75">
        <v>18.73</v>
      </c>
      <c r="R554" s="75">
        <v>3.5009999999999999</v>
      </c>
      <c r="S554" s="75">
        <v>3.5139999999999998</v>
      </c>
      <c r="T554" s="105">
        <v>3.581</v>
      </c>
      <c r="U554" s="104">
        <v>18.239999999999998</v>
      </c>
      <c r="V554" s="75">
        <v>18.239999999999998</v>
      </c>
      <c r="W554" s="75">
        <v>18.21</v>
      </c>
      <c r="X554" s="75">
        <v>18.399999999999999</v>
      </c>
      <c r="Y554" s="75">
        <v>18.16</v>
      </c>
      <c r="Z554" s="105">
        <v>17.760000000000002</v>
      </c>
      <c r="AA554" s="104"/>
      <c r="AF554" s="105"/>
    </row>
    <row r="555" spans="2:32" x14ac:dyDescent="0.3">
      <c r="B555" s="111">
        <v>91.666666666667084</v>
      </c>
      <c r="C555" s="104"/>
      <c r="H555" s="105"/>
      <c r="I555" s="104"/>
      <c r="N555" s="105"/>
      <c r="O555" s="104">
        <v>18.809999999999999</v>
      </c>
      <c r="P555" s="75">
        <v>18.829999999999998</v>
      </c>
      <c r="Q555" s="75">
        <v>18.8</v>
      </c>
      <c r="R555" s="75">
        <v>4.0519999999999996</v>
      </c>
      <c r="S555" s="75">
        <v>3.9950000000000001</v>
      </c>
      <c r="T555" s="105">
        <v>3.7930000000000001</v>
      </c>
      <c r="U555" s="104">
        <v>18.28</v>
      </c>
      <c r="V555" s="75">
        <v>18.28</v>
      </c>
      <c r="W555" s="75">
        <v>18.25</v>
      </c>
      <c r="X555" s="75">
        <v>19.79</v>
      </c>
      <c r="Y555" s="75">
        <v>19.600000000000001</v>
      </c>
      <c r="Z555" s="105">
        <v>18.739999999999998</v>
      </c>
      <c r="AA555" s="104"/>
      <c r="AF555" s="105"/>
    </row>
    <row r="556" spans="2:32" x14ac:dyDescent="0.3">
      <c r="B556" s="111">
        <v>91.833333333333755</v>
      </c>
      <c r="C556" s="104"/>
      <c r="H556" s="105"/>
      <c r="I556" s="104"/>
      <c r="N556" s="105"/>
      <c r="O556" s="104">
        <v>18.899999999999999</v>
      </c>
      <c r="P556" s="75">
        <v>18.91</v>
      </c>
      <c r="Q556" s="75">
        <v>18.89</v>
      </c>
      <c r="R556" s="75">
        <v>4.1920000000000002</v>
      </c>
      <c r="S556" s="75">
        <v>3.984</v>
      </c>
      <c r="T556" s="105">
        <v>3.9569999999999999</v>
      </c>
      <c r="U556" s="104">
        <v>18.329999999999998</v>
      </c>
      <c r="V556" s="75">
        <v>18.32</v>
      </c>
      <c r="W556" s="75">
        <v>18.29</v>
      </c>
      <c r="X556" s="75">
        <v>21.09</v>
      </c>
      <c r="Y556" s="75">
        <v>20.63</v>
      </c>
      <c r="Z556" s="105">
        <v>19.89</v>
      </c>
      <c r="AA556" s="104"/>
      <c r="AF556" s="105"/>
    </row>
    <row r="557" spans="2:32" x14ac:dyDescent="0.3">
      <c r="B557" s="111">
        <v>92.000000000000426</v>
      </c>
      <c r="C557" s="104"/>
      <c r="H557" s="105"/>
      <c r="I557" s="104"/>
      <c r="N557" s="105"/>
      <c r="O557" s="104">
        <v>18.97</v>
      </c>
      <c r="P557" s="75">
        <v>18.98</v>
      </c>
      <c r="Q557" s="75">
        <v>18.97</v>
      </c>
      <c r="R557" s="75">
        <v>3.952</v>
      </c>
      <c r="S557" s="75">
        <v>3.8849999999999998</v>
      </c>
      <c r="T557" s="105">
        <v>3.8860000000000001</v>
      </c>
      <c r="U557" s="104">
        <v>18.36</v>
      </c>
      <c r="V557" s="75">
        <v>18.36</v>
      </c>
      <c r="W557" s="75">
        <v>18.329999999999998</v>
      </c>
      <c r="X557" s="75">
        <v>21.76</v>
      </c>
      <c r="Y557" s="75">
        <v>21.44</v>
      </c>
      <c r="Z557" s="105">
        <v>20.71</v>
      </c>
      <c r="AA557" s="104"/>
      <c r="AF557" s="105"/>
    </row>
    <row r="558" spans="2:32" x14ac:dyDescent="0.3">
      <c r="B558" s="111">
        <v>92.166666666667098</v>
      </c>
      <c r="C558" s="104"/>
      <c r="H558" s="105"/>
      <c r="I558" s="104"/>
      <c r="N558" s="105"/>
      <c r="O558" s="104">
        <v>19.04</v>
      </c>
      <c r="P558" s="75">
        <v>19.059999999999999</v>
      </c>
      <c r="Q558" s="75">
        <v>19.04</v>
      </c>
      <c r="R558" s="75">
        <v>3.8119999999999998</v>
      </c>
      <c r="S558" s="75">
        <v>3.9260000000000002</v>
      </c>
      <c r="T558" s="105">
        <v>3.7890000000000001</v>
      </c>
      <c r="U558" s="104">
        <v>18.39</v>
      </c>
      <c r="V558" s="75">
        <v>18.39</v>
      </c>
      <c r="W558" s="75">
        <v>18.36</v>
      </c>
      <c r="X558" s="75">
        <v>22.61</v>
      </c>
      <c r="Y558" s="75">
        <v>22.39</v>
      </c>
      <c r="Z558" s="105">
        <v>21.54</v>
      </c>
      <c r="AA558" s="104"/>
      <c r="AF558" s="105"/>
    </row>
    <row r="559" spans="2:32" x14ac:dyDescent="0.3">
      <c r="B559" s="111">
        <v>92.333333333333769</v>
      </c>
      <c r="C559" s="104"/>
      <c r="H559" s="105"/>
      <c r="I559" s="104"/>
      <c r="N559" s="105"/>
      <c r="O559" s="104">
        <v>19.12</v>
      </c>
      <c r="P559" s="75">
        <v>19.13</v>
      </c>
      <c r="Q559" s="75">
        <v>19.100000000000001</v>
      </c>
      <c r="R559" s="75">
        <v>3.879</v>
      </c>
      <c r="S559" s="75">
        <v>3.6960000000000002</v>
      </c>
      <c r="T559" s="105">
        <v>3.67</v>
      </c>
      <c r="U559" s="104">
        <v>18.43</v>
      </c>
      <c r="V559" s="75">
        <v>18.420000000000002</v>
      </c>
      <c r="W559" s="75">
        <v>18.39</v>
      </c>
      <c r="X559" s="75">
        <v>23.58</v>
      </c>
      <c r="Y559" s="75">
        <v>23.08</v>
      </c>
      <c r="Z559" s="105">
        <v>22.08</v>
      </c>
      <c r="AA559" s="104"/>
      <c r="AF559" s="105"/>
    </row>
    <row r="560" spans="2:32" x14ac:dyDescent="0.3">
      <c r="B560" s="111">
        <v>92.500000000000441</v>
      </c>
      <c r="C560" s="104"/>
      <c r="H560" s="105"/>
      <c r="I560" s="104"/>
      <c r="N560" s="105"/>
      <c r="O560" s="104">
        <v>19.18</v>
      </c>
      <c r="P560" s="75">
        <v>19.2</v>
      </c>
      <c r="Q560" s="75">
        <v>19.18</v>
      </c>
      <c r="R560" s="75">
        <v>3.8220000000000001</v>
      </c>
      <c r="S560" s="75">
        <v>3.8620000000000001</v>
      </c>
      <c r="T560" s="105">
        <v>3.8029999999999999</v>
      </c>
      <c r="U560" s="104">
        <v>18.45</v>
      </c>
      <c r="V560" s="75">
        <v>18.45</v>
      </c>
      <c r="W560" s="75">
        <v>18.420000000000002</v>
      </c>
      <c r="X560" s="75">
        <v>24.38</v>
      </c>
      <c r="Y560" s="75">
        <v>24.15</v>
      </c>
      <c r="Z560" s="105">
        <v>23.18</v>
      </c>
      <c r="AA560" s="104"/>
      <c r="AF560" s="105"/>
    </row>
    <row r="561" spans="2:32" x14ac:dyDescent="0.3">
      <c r="B561" s="111">
        <v>92.666666666667112</v>
      </c>
      <c r="C561" s="104"/>
      <c r="H561" s="105"/>
      <c r="I561" s="104"/>
      <c r="N561" s="105"/>
      <c r="O561" s="104">
        <v>19.25</v>
      </c>
      <c r="P561" s="75">
        <v>19.27</v>
      </c>
      <c r="Q561" s="75">
        <v>19.25</v>
      </c>
      <c r="R561" s="75">
        <v>3.6890000000000001</v>
      </c>
      <c r="S561" s="75">
        <v>3.7839999999999998</v>
      </c>
      <c r="T561" s="105">
        <v>3.7919999999999998</v>
      </c>
      <c r="U561" s="104">
        <v>18.48</v>
      </c>
      <c r="V561" s="75">
        <v>18.48</v>
      </c>
      <c r="W561" s="75">
        <v>18.46</v>
      </c>
      <c r="X561" s="75">
        <v>25.18</v>
      </c>
      <c r="Y561" s="75">
        <v>24.98</v>
      </c>
      <c r="Z561" s="105">
        <v>24.01</v>
      </c>
      <c r="AA561" s="104"/>
      <c r="AF561" s="105"/>
    </row>
    <row r="562" spans="2:32" x14ac:dyDescent="0.3">
      <c r="B562" s="111">
        <v>92.833333333333783</v>
      </c>
      <c r="C562" s="104"/>
      <c r="H562" s="105"/>
      <c r="I562" s="104"/>
      <c r="N562" s="105"/>
      <c r="O562" s="104">
        <v>19.32</v>
      </c>
      <c r="P562" s="75">
        <v>19.34</v>
      </c>
      <c r="Q562" s="75">
        <v>19.32</v>
      </c>
      <c r="R562" s="75">
        <v>3.73</v>
      </c>
      <c r="S562" s="75">
        <v>3.706</v>
      </c>
      <c r="T562" s="105">
        <v>3.7440000000000002</v>
      </c>
      <c r="U562" s="104">
        <v>18.52</v>
      </c>
      <c r="V562" s="75">
        <v>18.510000000000002</v>
      </c>
      <c r="W562" s="75">
        <v>18.48</v>
      </c>
      <c r="X562" s="75">
        <v>25.71</v>
      </c>
      <c r="Y562" s="75">
        <v>25.81</v>
      </c>
      <c r="Z562" s="105">
        <v>24.81</v>
      </c>
      <c r="AA562" s="104"/>
      <c r="AF562" s="105"/>
    </row>
    <row r="563" spans="2:32" x14ac:dyDescent="0.3">
      <c r="B563" s="111">
        <v>93.000000000000455</v>
      </c>
      <c r="C563" s="104"/>
      <c r="H563" s="105"/>
      <c r="I563" s="104"/>
      <c r="N563" s="105"/>
      <c r="O563" s="104">
        <v>19.399999999999999</v>
      </c>
      <c r="P563" s="75">
        <v>19.41</v>
      </c>
      <c r="Q563" s="75">
        <v>19.39</v>
      </c>
      <c r="R563" s="75">
        <v>3.9769999999999999</v>
      </c>
      <c r="S563" s="75">
        <v>3.75</v>
      </c>
      <c r="T563" s="105">
        <v>3.8570000000000002</v>
      </c>
      <c r="U563" s="104">
        <v>18.559999999999999</v>
      </c>
      <c r="V563" s="75">
        <v>18.54</v>
      </c>
      <c r="W563" s="75">
        <v>18.52</v>
      </c>
      <c r="X563" s="75">
        <v>26.78</v>
      </c>
      <c r="Y563" s="75">
        <v>27.161999999999999</v>
      </c>
      <c r="Z563" s="105">
        <v>25.33</v>
      </c>
      <c r="AA563" s="104"/>
      <c r="AF563" s="105"/>
    </row>
    <row r="564" spans="2:32" x14ac:dyDescent="0.3">
      <c r="B564" s="111">
        <v>93.166666666667126</v>
      </c>
      <c r="C564" s="104"/>
      <c r="H564" s="105"/>
      <c r="I564" s="104"/>
      <c r="N564" s="105"/>
      <c r="O564" s="104">
        <v>19.47</v>
      </c>
      <c r="P564" s="75">
        <v>19.489999999999998</v>
      </c>
      <c r="Q564" s="75">
        <v>19.47</v>
      </c>
      <c r="R564" s="75">
        <v>3.9769999999999999</v>
      </c>
      <c r="S564" s="75">
        <v>3.867</v>
      </c>
      <c r="T564" s="105">
        <v>3.92</v>
      </c>
      <c r="U564" s="104">
        <v>18.600000000000001</v>
      </c>
      <c r="V564" s="75">
        <v>18.59</v>
      </c>
      <c r="W564" s="75">
        <v>18.55</v>
      </c>
      <c r="X564" s="75">
        <v>27.58</v>
      </c>
      <c r="Y564" s="75">
        <v>27.44</v>
      </c>
      <c r="Z564" s="105">
        <v>26.4</v>
      </c>
      <c r="AA564" s="104"/>
      <c r="AF564" s="105"/>
    </row>
    <row r="565" spans="2:32" x14ac:dyDescent="0.3">
      <c r="B565" s="111">
        <v>93.333333333333798</v>
      </c>
      <c r="C565" s="104"/>
      <c r="H565" s="105"/>
      <c r="I565" s="104"/>
      <c r="N565" s="105"/>
      <c r="O565" s="104">
        <v>19.54</v>
      </c>
      <c r="P565" s="75">
        <v>19.55</v>
      </c>
      <c r="Q565" s="75">
        <v>19.54</v>
      </c>
      <c r="R565" s="75">
        <v>3.794</v>
      </c>
      <c r="S565" s="75">
        <v>3.9079999999999999</v>
      </c>
      <c r="T565" s="105">
        <v>4.0330000000000004</v>
      </c>
      <c r="U565" s="104">
        <v>18.64</v>
      </c>
      <c r="V565" s="75">
        <v>18.63</v>
      </c>
      <c r="W565" s="75">
        <v>18.600000000000001</v>
      </c>
      <c r="X565" s="75">
        <v>28.37</v>
      </c>
      <c r="Y565" s="75">
        <v>28.21</v>
      </c>
      <c r="Z565" s="105">
        <v>27.75</v>
      </c>
      <c r="AA565" s="104"/>
      <c r="AF565" s="105"/>
    </row>
    <row r="566" spans="2:32" x14ac:dyDescent="0.3">
      <c r="B566" s="111">
        <v>93.500000000000469</v>
      </c>
      <c r="C566" s="104"/>
      <c r="H566" s="105"/>
      <c r="I566" s="104"/>
      <c r="N566" s="105"/>
      <c r="O566" s="104">
        <v>19.61</v>
      </c>
      <c r="P566" s="75">
        <v>19.62</v>
      </c>
      <c r="Q566" s="75">
        <v>19.61</v>
      </c>
      <c r="R566" s="75">
        <v>3.73</v>
      </c>
      <c r="S566" s="75">
        <v>3.8420000000000001</v>
      </c>
      <c r="T566" s="105">
        <v>3.88</v>
      </c>
      <c r="U566" s="104">
        <v>18.690000000000001</v>
      </c>
      <c r="V566" s="75">
        <v>18.68</v>
      </c>
      <c r="W566" s="75">
        <v>18.64</v>
      </c>
      <c r="X566" s="75">
        <v>28.91</v>
      </c>
      <c r="Y566" s="75">
        <v>28.69</v>
      </c>
      <c r="Z566" s="105">
        <v>27.99</v>
      </c>
      <c r="AA566" s="104"/>
      <c r="AF566" s="105"/>
    </row>
    <row r="567" spans="2:32" x14ac:dyDescent="0.3">
      <c r="B567" s="111">
        <v>93.66666666666714</v>
      </c>
      <c r="C567" s="104"/>
      <c r="H567" s="105"/>
      <c r="I567" s="104"/>
      <c r="N567" s="105"/>
      <c r="O567" s="104">
        <v>19.68</v>
      </c>
      <c r="P567" s="75">
        <v>19.690000000000001</v>
      </c>
      <c r="Q567" s="75">
        <v>19.68</v>
      </c>
      <c r="R567" s="75">
        <v>3.819</v>
      </c>
      <c r="S567" s="75">
        <v>3.7879999999999998</v>
      </c>
      <c r="T567" s="105">
        <v>3.9380000000000002</v>
      </c>
      <c r="U567" s="104">
        <v>18.739999999999998</v>
      </c>
      <c r="V567" s="75">
        <v>18.73</v>
      </c>
      <c r="W567" s="75">
        <v>18.68</v>
      </c>
      <c r="X567" s="75">
        <v>29.89</v>
      </c>
      <c r="Y567" s="75">
        <v>29.22</v>
      </c>
      <c r="Z567" s="105">
        <v>28.74</v>
      </c>
      <c r="AA567" s="104"/>
      <c r="AF567" s="105"/>
    </row>
    <row r="568" spans="2:32" x14ac:dyDescent="0.3">
      <c r="B568" s="111">
        <v>93.833333333333812</v>
      </c>
      <c r="C568" s="104"/>
      <c r="H568" s="105"/>
      <c r="I568" s="104"/>
      <c r="N568" s="105"/>
      <c r="O568" s="104">
        <v>19.75</v>
      </c>
      <c r="P568" s="75">
        <v>19.77</v>
      </c>
      <c r="Q568" s="75">
        <v>19.739999999999998</v>
      </c>
      <c r="R568" s="75">
        <v>3.9860000000000002</v>
      </c>
      <c r="S568" s="75">
        <v>4.173</v>
      </c>
      <c r="T568" s="105">
        <v>4.0359999999999996</v>
      </c>
      <c r="U568" s="104">
        <v>18.79</v>
      </c>
      <c r="V568" s="75">
        <v>18.78</v>
      </c>
      <c r="W568" s="75">
        <v>18.72</v>
      </c>
      <c r="X568" s="75">
        <v>30.37</v>
      </c>
      <c r="Y568" s="75">
        <v>30.22</v>
      </c>
      <c r="Z568" s="105">
        <v>29.5</v>
      </c>
      <c r="AA568" s="104"/>
      <c r="AF568" s="105"/>
    </row>
    <row r="569" spans="2:32" x14ac:dyDescent="0.3">
      <c r="B569" s="111">
        <v>94.000000000000483</v>
      </c>
      <c r="C569" s="104"/>
      <c r="H569" s="105"/>
      <c r="I569" s="104"/>
      <c r="N569" s="105"/>
      <c r="O569" s="104">
        <v>19.82</v>
      </c>
      <c r="P569" s="75">
        <v>19.850000000000001</v>
      </c>
      <c r="Q569" s="75">
        <v>19.829999999999998</v>
      </c>
      <c r="R569" s="75">
        <v>3.9849999999999999</v>
      </c>
      <c r="S569" s="75">
        <v>4.4669999999999996</v>
      </c>
      <c r="T569" s="105">
        <v>4.4000000000000004</v>
      </c>
      <c r="U569" s="104">
        <v>18.84</v>
      </c>
      <c r="V569" s="75">
        <v>18.84</v>
      </c>
      <c r="W569" s="75">
        <v>18.78</v>
      </c>
      <c r="X569" s="75">
        <v>31.2</v>
      </c>
      <c r="Y569" s="75">
        <v>31.08</v>
      </c>
      <c r="Z569" s="105">
        <v>30.5</v>
      </c>
      <c r="AA569" s="104"/>
      <c r="AF569" s="105"/>
    </row>
    <row r="570" spans="2:32" x14ac:dyDescent="0.3">
      <c r="B570" s="111">
        <v>94.166666666667155</v>
      </c>
      <c r="C570" s="104"/>
      <c r="H570" s="105"/>
      <c r="I570" s="104"/>
      <c r="N570" s="105"/>
      <c r="O570" s="104">
        <v>19.91</v>
      </c>
      <c r="P570" s="75">
        <v>19.93</v>
      </c>
      <c r="Q570" s="75">
        <v>19.91</v>
      </c>
      <c r="R570" s="75">
        <v>4.1559999999999997</v>
      </c>
      <c r="S570" s="75">
        <v>4.508</v>
      </c>
      <c r="T570" s="105">
        <v>4.6239999999999997</v>
      </c>
      <c r="U570" s="104">
        <v>18.91</v>
      </c>
      <c r="V570" s="75">
        <v>18.899999999999999</v>
      </c>
      <c r="W570" s="75">
        <v>18.84</v>
      </c>
      <c r="X570" s="75">
        <v>32.39</v>
      </c>
      <c r="Y570" s="75">
        <v>31.71</v>
      </c>
      <c r="Z570" s="105">
        <v>31.37</v>
      </c>
      <c r="AA570" s="104"/>
      <c r="AF570" s="105"/>
    </row>
    <row r="571" spans="2:32" x14ac:dyDescent="0.3">
      <c r="B571" s="111">
        <v>94.333333333333826</v>
      </c>
      <c r="C571" s="104"/>
      <c r="H571" s="105"/>
      <c r="I571" s="104"/>
      <c r="N571" s="105"/>
      <c r="O571" s="104">
        <v>20</v>
      </c>
      <c r="P571" s="75">
        <v>20.010000000000002</v>
      </c>
      <c r="Q571" s="75">
        <v>19.989999999999998</v>
      </c>
      <c r="R571" s="75">
        <v>4.6269999999999998</v>
      </c>
      <c r="S571" s="75">
        <v>4.4329999999999998</v>
      </c>
      <c r="T571" s="105">
        <v>4.5949999999999998</v>
      </c>
      <c r="U571" s="104">
        <v>18.989999999999998</v>
      </c>
      <c r="V571" s="75">
        <v>18.97</v>
      </c>
      <c r="W571" s="75">
        <v>18.91</v>
      </c>
      <c r="X571" s="75">
        <v>33.369999999999997</v>
      </c>
      <c r="Y571" s="75">
        <v>32.39</v>
      </c>
      <c r="Z571" s="105">
        <v>31.8</v>
      </c>
      <c r="AA571" s="104"/>
      <c r="AF571" s="105"/>
    </row>
    <row r="572" spans="2:32" x14ac:dyDescent="0.3">
      <c r="B572" s="111">
        <v>94.500000000000497</v>
      </c>
      <c r="C572" s="104"/>
      <c r="H572" s="105"/>
      <c r="I572" s="104"/>
      <c r="N572" s="105"/>
      <c r="O572" s="104">
        <v>20.07</v>
      </c>
      <c r="P572" s="75">
        <v>20.079999999999998</v>
      </c>
      <c r="Q572" s="75">
        <v>20.07</v>
      </c>
      <c r="R572" s="75">
        <v>4.8140000000000001</v>
      </c>
      <c r="S572" s="75">
        <v>4.4690000000000003</v>
      </c>
      <c r="T572" s="105">
        <v>4.6849999999999996</v>
      </c>
      <c r="U572" s="104">
        <v>19.059999999999999</v>
      </c>
      <c r="V572" s="75">
        <v>19.04</v>
      </c>
      <c r="W572" s="75">
        <v>18.98</v>
      </c>
      <c r="X572" s="75">
        <v>33.630000000000003</v>
      </c>
      <c r="Y572" s="75">
        <v>32.78</v>
      </c>
      <c r="Z572" s="105">
        <v>32.31</v>
      </c>
      <c r="AA572" s="104"/>
      <c r="AF572" s="105"/>
    </row>
    <row r="573" spans="2:32" x14ac:dyDescent="0.3">
      <c r="B573" s="111">
        <v>94.666666666667169</v>
      </c>
      <c r="C573" s="104"/>
      <c r="H573" s="105"/>
      <c r="I573" s="104"/>
      <c r="N573" s="105"/>
      <c r="O573" s="104">
        <v>20.149999999999999</v>
      </c>
      <c r="P573" s="75">
        <v>20.170000000000002</v>
      </c>
      <c r="Q573" s="75">
        <v>20.14</v>
      </c>
      <c r="R573" s="75">
        <v>4.734</v>
      </c>
      <c r="S573" s="75">
        <v>4.6500000000000004</v>
      </c>
      <c r="T573" s="105">
        <v>4.6079999999999997</v>
      </c>
      <c r="U573" s="104">
        <v>19.14</v>
      </c>
      <c r="V573" s="75">
        <v>19.14</v>
      </c>
      <c r="W573" s="75">
        <v>19.059999999999999</v>
      </c>
      <c r="X573" s="75">
        <v>34.08</v>
      </c>
      <c r="Y573" s="75">
        <v>33.07</v>
      </c>
      <c r="Z573" s="105">
        <v>32.51</v>
      </c>
      <c r="AA573" s="104"/>
      <c r="AF573" s="105"/>
    </row>
    <row r="574" spans="2:32" x14ac:dyDescent="0.3">
      <c r="B574" s="111">
        <v>94.83333333333384</v>
      </c>
      <c r="C574" s="104"/>
      <c r="H574" s="105"/>
      <c r="I574" s="104"/>
      <c r="N574" s="105"/>
      <c r="O574" s="104">
        <v>20.23</v>
      </c>
      <c r="P574" s="75">
        <v>20.239999999999998</v>
      </c>
      <c r="Q574" s="75">
        <v>20.22</v>
      </c>
      <c r="R574" s="75">
        <v>4.7430000000000003</v>
      </c>
      <c r="S574" s="75">
        <v>4.6230000000000002</v>
      </c>
      <c r="T574" s="105">
        <v>4.851</v>
      </c>
      <c r="U574" s="104">
        <v>19.260000000000002</v>
      </c>
      <c r="V574" s="75">
        <v>19.260000000000002</v>
      </c>
      <c r="W574" s="75">
        <v>19.16</v>
      </c>
      <c r="X574" s="75">
        <v>34.020000000000003</v>
      </c>
      <c r="Y574" s="75">
        <v>32.880000000000003</v>
      </c>
      <c r="Z574" s="105">
        <v>32.82</v>
      </c>
      <c r="AA574" s="104"/>
      <c r="AF574" s="105"/>
    </row>
    <row r="575" spans="2:32" x14ac:dyDescent="0.3">
      <c r="B575" s="111">
        <v>95.000000000000512</v>
      </c>
      <c r="C575" s="104"/>
      <c r="H575" s="105"/>
      <c r="I575" s="104"/>
      <c r="N575" s="105"/>
      <c r="O575" s="104">
        <v>20.309999999999999</v>
      </c>
      <c r="P575" s="75">
        <v>20.3</v>
      </c>
      <c r="Q575" s="75">
        <v>20.28</v>
      </c>
      <c r="R575" s="75">
        <v>4.7610000000000001</v>
      </c>
      <c r="S575" s="75">
        <v>4.38</v>
      </c>
      <c r="T575" s="105">
        <v>4.5739999999999998</v>
      </c>
      <c r="U575" s="104">
        <v>19.38</v>
      </c>
      <c r="V575" s="75">
        <v>19.37</v>
      </c>
      <c r="W575" s="75">
        <v>19.29</v>
      </c>
      <c r="X575" s="75">
        <v>33.21</v>
      </c>
      <c r="Y575" s="75">
        <v>32.08</v>
      </c>
      <c r="Z575" s="105">
        <v>32.11</v>
      </c>
      <c r="AA575" s="104"/>
      <c r="AF575" s="105"/>
    </row>
    <row r="576" spans="2:32" x14ac:dyDescent="0.3">
      <c r="B576" s="111">
        <v>95.166666666667183</v>
      </c>
      <c r="C576" s="104"/>
      <c r="H576" s="105"/>
      <c r="I576" s="104"/>
      <c r="N576" s="105"/>
      <c r="O576" s="104">
        <v>20.38</v>
      </c>
      <c r="P576" s="75">
        <v>20.37</v>
      </c>
      <c r="Q576" s="75">
        <v>20.36</v>
      </c>
      <c r="R576" s="75">
        <v>4.7720000000000002</v>
      </c>
      <c r="S576" s="75">
        <v>4.5880000000000001</v>
      </c>
      <c r="T576" s="105">
        <v>4.7060000000000004</v>
      </c>
      <c r="U576" s="104">
        <v>19.510000000000002</v>
      </c>
      <c r="V576" s="75">
        <v>19.489999999999998</v>
      </c>
      <c r="W576" s="75">
        <v>19.41</v>
      </c>
      <c r="X576" s="75">
        <v>31.62</v>
      </c>
      <c r="Y576" s="75">
        <v>30.97</v>
      </c>
      <c r="Z576" s="105">
        <v>31.49</v>
      </c>
      <c r="AA576" s="104"/>
      <c r="AF576" s="105"/>
    </row>
    <row r="577" spans="2:32" x14ac:dyDescent="0.3">
      <c r="B577" s="111">
        <v>95.333333333333854</v>
      </c>
      <c r="C577" s="104"/>
      <c r="H577" s="105"/>
      <c r="I577" s="104"/>
      <c r="N577" s="105"/>
      <c r="O577" s="104">
        <v>20.45</v>
      </c>
      <c r="P577" s="75">
        <v>20.440000000000001</v>
      </c>
      <c r="Q577" s="75">
        <v>20.43</v>
      </c>
      <c r="R577" s="75">
        <v>4.8029999999999999</v>
      </c>
      <c r="S577" s="75">
        <v>4.4359999999999999</v>
      </c>
      <c r="T577" s="105">
        <v>4.7629999999999999</v>
      </c>
      <c r="U577" s="104">
        <v>19.64</v>
      </c>
      <c r="V577" s="75">
        <v>19.62</v>
      </c>
      <c r="W577" s="75">
        <v>19.54</v>
      </c>
      <c r="X577" s="75">
        <v>29.3</v>
      </c>
      <c r="Y577" s="75">
        <v>28.6</v>
      </c>
      <c r="Z577" s="105">
        <v>30.03</v>
      </c>
      <c r="AA577" s="104"/>
      <c r="AF577" s="105"/>
    </row>
    <row r="578" spans="2:32" x14ac:dyDescent="0.3">
      <c r="B578" s="111">
        <v>95.500000000000526</v>
      </c>
      <c r="C578" s="104"/>
      <c r="H578" s="105"/>
      <c r="I578" s="104"/>
      <c r="N578" s="105"/>
      <c r="O578" s="104">
        <v>20.51</v>
      </c>
      <c r="P578" s="75">
        <v>20.5</v>
      </c>
      <c r="Q578" s="75">
        <v>20.49</v>
      </c>
      <c r="R578" s="75">
        <v>4.5259999999999998</v>
      </c>
      <c r="S578" s="75">
        <v>4.4569999999999999</v>
      </c>
      <c r="T578" s="105">
        <v>4.4320000000000004</v>
      </c>
      <c r="U578" s="104">
        <v>19.78</v>
      </c>
      <c r="V578" s="75">
        <v>19.75</v>
      </c>
      <c r="W578" s="75">
        <v>19.670000000000002</v>
      </c>
      <c r="X578" s="75">
        <v>26.84</v>
      </c>
      <c r="Y578" s="75">
        <v>26.343</v>
      </c>
      <c r="Z578" s="105">
        <v>27.39</v>
      </c>
      <c r="AA578" s="104"/>
      <c r="AF578" s="105"/>
    </row>
    <row r="579" spans="2:32" x14ac:dyDescent="0.3">
      <c r="B579" s="111">
        <v>95.666666666667197</v>
      </c>
      <c r="C579" s="104"/>
      <c r="H579" s="105"/>
      <c r="I579" s="104"/>
      <c r="N579" s="105"/>
      <c r="O579" s="104">
        <v>20.58</v>
      </c>
      <c r="P579" s="75">
        <v>20.58</v>
      </c>
      <c r="Q579" s="75">
        <v>20.56</v>
      </c>
      <c r="R579" s="75">
        <v>4.359</v>
      </c>
      <c r="S579" s="75">
        <v>4.7190000000000003</v>
      </c>
      <c r="T579" s="105">
        <v>4.5119999999999996</v>
      </c>
      <c r="U579" s="104">
        <v>19.93</v>
      </c>
      <c r="V579" s="75">
        <v>19.899999999999999</v>
      </c>
      <c r="W579" s="75">
        <v>19.809999999999999</v>
      </c>
      <c r="X579" s="75">
        <v>24.37</v>
      </c>
      <c r="Y579" s="75">
        <v>24.087</v>
      </c>
      <c r="Z579" s="105">
        <v>24.93</v>
      </c>
      <c r="AA579" s="104"/>
      <c r="AF579" s="105"/>
    </row>
    <row r="580" spans="2:32" x14ac:dyDescent="0.3">
      <c r="B580" s="111">
        <v>95.833333333333869</v>
      </c>
      <c r="C580" s="104"/>
      <c r="H580" s="105"/>
      <c r="I580" s="104"/>
      <c r="N580" s="105"/>
      <c r="O580" s="104">
        <v>20.65</v>
      </c>
      <c r="P580" s="75">
        <v>20.65</v>
      </c>
      <c r="Q580" s="75">
        <v>20.62</v>
      </c>
      <c r="R580" s="75">
        <v>4.532</v>
      </c>
      <c r="S580" s="75">
        <v>4.6619999999999999</v>
      </c>
      <c r="T580" s="105">
        <v>4.41</v>
      </c>
      <c r="U580" s="104">
        <v>20.079999999999998</v>
      </c>
      <c r="V580" s="75">
        <v>20.05</v>
      </c>
      <c r="W580" s="75">
        <v>19.940000000000001</v>
      </c>
      <c r="X580" s="75">
        <v>22</v>
      </c>
      <c r="Y580" s="75">
        <v>21.678000000000001</v>
      </c>
      <c r="Z580" s="105">
        <v>22.47</v>
      </c>
      <c r="AA580" s="104"/>
      <c r="AF580" s="105"/>
    </row>
    <row r="581" spans="2:32" x14ac:dyDescent="0.3">
      <c r="B581" s="111">
        <v>96.00000000000054</v>
      </c>
      <c r="C581" s="104"/>
      <c r="H581" s="105"/>
      <c r="I581" s="104"/>
      <c r="N581" s="105"/>
      <c r="O581" s="104">
        <v>20.72</v>
      </c>
      <c r="P581" s="75">
        <v>20.72</v>
      </c>
      <c r="Q581" s="75">
        <v>20.69</v>
      </c>
      <c r="R581" s="75">
        <v>4.6470000000000002</v>
      </c>
      <c r="S581" s="75">
        <v>4.7919999999999998</v>
      </c>
      <c r="T581" s="105">
        <v>4.5709999999999997</v>
      </c>
      <c r="U581" s="104">
        <v>20.23</v>
      </c>
      <c r="V581" s="75">
        <v>20.190000000000001</v>
      </c>
      <c r="W581" s="75">
        <v>20.079999999999998</v>
      </c>
      <c r="X581" s="75">
        <v>19.64</v>
      </c>
      <c r="Y581" s="75">
        <v>19.64</v>
      </c>
      <c r="Z581" s="105">
        <v>20.190000000000001</v>
      </c>
      <c r="AA581" s="104"/>
      <c r="AF581" s="105"/>
    </row>
    <row r="582" spans="2:32" x14ac:dyDescent="0.3">
      <c r="B582" s="111">
        <v>96.166666666667211</v>
      </c>
      <c r="C582" s="104"/>
      <c r="H582" s="105"/>
      <c r="I582" s="104"/>
      <c r="N582" s="105"/>
      <c r="O582" s="104">
        <v>20.79</v>
      </c>
      <c r="P582" s="75">
        <v>20.79</v>
      </c>
      <c r="Q582" s="75">
        <v>20.76</v>
      </c>
      <c r="R582" s="75">
        <v>4.7590000000000003</v>
      </c>
      <c r="S582" s="75">
        <v>4.7220000000000004</v>
      </c>
      <c r="T582" s="105">
        <v>4.7510000000000003</v>
      </c>
      <c r="U582" s="104">
        <v>20.37</v>
      </c>
      <c r="V582" s="75">
        <v>20.350000000000001</v>
      </c>
      <c r="W582" s="75">
        <v>20.22</v>
      </c>
      <c r="X582" s="75">
        <v>17.260000000000002</v>
      </c>
      <c r="Y582" s="75">
        <v>17.489999999999998</v>
      </c>
      <c r="Z582" s="105">
        <v>18.34</v>
      </c>
      <c r="AA582" s="104"/>
      <c r="AF582" s="105"/>
    </row>
    <row r="583" spans="2:32" x14ac:dyDescent="0.3">
      <c r="B583" s="111">
        <v>96.333333333333883</v>
      </c>
      <c r="C583" s="104"/>
      <c r="H583" s="105"/>
      <c r="I583" s="104"/>
      <c r="N583" s="105"/>
      <c r="O583" s="104">
        <v>20.86</v>
      </c>
      <c r="P583" s="75">
        <v>20.86</v>
      </c>
      <c r="Q583" s="75">
        <v>20.82</v>
      </c>
      <c r="R583" s="75">
        <v>4.5430000000000001</v>
      </c>
      <c r="S583" s="75">
        <v>4.7409999999999997</v>
      </c>
      <c r="T583" s="105">
        <v>4.766</v>
      </c>
      <c r="U583" s="104">
        <v>20.53</v>
      </c>
      <c r="V583" s="75">
        <v>20.5</v>
      </c>
      <c r="W583" s="75">
        <v>20.37</v>
      </c>
      <c r="X583" s="75">
        <v>15.17</v>
      </c>
      <c r="Y583" s="75">
        <v>15.39</v>
      </c>
      <c r="Z583" s="105">
        <v>16.16</v>
      </c>
      <c r="AA583" s="104"/>
      <c r="AF583" s="105"/>
    </row>
    <row r="584" spans="2:32" x14ac:dyDescent="0.3">
      <c r="B584" s="111">
        <v>96.500000000000554</v>
      </c>
      <c r="C584" s="104"/>
      <c r="H584" s="105"/>
      <c r="I584" s="104"/>
      <c r="N584" s="105"/>
      <c r="O584" s="104">
        <v>20.93</v>
      </c>
      <c r="P584" s="75">
        <v>20.94</v>
      </c>
      <c r="Q584" s="75">
        <v>20.89</v>
      </c>
      <c r="R584" s="75">
        <v>4.6539999999999999</v>
      </c>
      <c r="S584" s="75">
        <v>4.9009999999999998</v>
      </c>
      <c r="T584" s="105">
        <v>4.82</v>
      </c>
      <c r="U584" s="104">
        <v>20.68</v>
      </c>
      <c r="V584" s="75">
        <v>20.66</v>
      </c>
      <c r="W584" s="75">
        <v>20.52</v>
      </c>
      <c r="X584" s="75">
        <v>13.4</v>
      </c>
      <c r="Y584" s="75">
        <v>13.37</v>
      </c>
      <c r="Z584" s="105">
        <v>14.06</v>
      </c>
      <c r="AA584" s="104"/>
      <c r="AF584" s="105"/>
    </row>
    <row r="585" spans="2:32" x14ac:dyDescent="0.3">
      <c r="B585" s="111">
        <v>96.666666666667226</v>
      </c>
      <c r="C585" s="104"/>
      <c r="H585" s="105"/>
      <c r="I585" s="104"/>
      <c r="N585" s="105"/>
      <c r="O585" s="104">
        <v>21.01</v>
      </c>
      <c r="P585" s="75">
        <v>21.01</v>
      </c>
      <c r="Q585" s="75">
        <v>20.96</v>
      </c>
      <c r="R585" s="75">
        <v>5.0030000000000001</v>
      </c>
      <c r="S585" s="75">
        <v>5.085</v>
      </c>
      <c r="T585" s="105">
        <v>4.8079999999999998</v>
      </c>
      <c r="U585" s="104">
        <v>20.85</v>
      </c>
      <c r="V585" s="75">
        <v>20.81</v>
      </c>
      <c r="W585" s="75">
        <v>20.67</v>
      </c>
      <c r="X585" s="75">
        <v>11.53</v>
      </c>
      <c r="Y585" s="75">
        <v>11.41</v>
      </c>
      <c r="Z585" s="105">
        <v>11.9</v>
      </c>
      <c r="AA585" s="104"/>
      <c r="AF585" s="105"/>
    </row>
    <row r="586" spans="2:32" x14ac:dyDescent="0.3">
      <c r="B586" s="111">
        <v>96.833333333333897</v>
      </c>
      <c r="C586" s="104"/>
      <c r="H586" s="105"/>
      <c r="I586" s="104"/>
      <c r="N586" s="105"/>
      <c r="O586" s="104">
        <v>21.08</v>
      </c>
      <c r="P586" s="75">
        <v>21.09</v>
      </c>
      <c r="Q586" s="75">
        <v>21.05</v>
      </c>
      <c r="R586" s="75">
        <v>5.2839999999999998</v>
      </c>
      <c r="S586" s="75">
        <v>5.2240000000000002</v>
      </c>
      <c r="T586" s="105">
        <v>5.4349999999999996</v>
      </c>
      <c r="U586" s="104">
        <v>21.01</v>
      </c>
      <c r="V586" s="75">
        <v>20.98</v>
      </c>
      <c r="W586" s="75">
        <v>20.84</v>
      </c>
      <c r="X586" s="75">
        <v>9.19</v>
      </c>
      <c r="Y586" s="75">
        <v>9.2799999999999994</v>
      </c>
      <c r="Z586" s="105">
        <v>10.43</v>
      </c>
      <c r="AA586" s="104"/>
      <c r="AF586" s="105"/>
    </row>
    <row r="587" spans="2:32" x14ac:dyDescent="0.3">
      <c r="B587" s="111">
        <v>97.000000000000568</v>
      </c>
      <c r="C587" s="104"/>
      <c r="H587" s="105"/>
      <c r="I587" s="104"/>
      <c r="N587" s="105"/>
      <c r="O587" s="104">
        <v>21.15</v>
      </c>
      <c r="P587" s="75">
        <v>21.16</v>
      </c>
      <c r="Q587" s="75">
        <v>21.13</v>
      </c>
      <c r="R587" s="75">
        <v>5.3120000000000003</v>
      </c>
      <c r="S587" s="75">
        <v>5.2450000000000001</v>
      </c>
      <c r="T587" s="105">
        <v>5.46</v>
      </c>
      <c r="U587" s="104">
        <v>21.16</v>
      </c>
      <c r="V587" s="75">
        <v>21.14</v>
      </c>
      <c r="W587" s="75">
        <v>21</v>
      </c>
      <c r="X587" s="75">
        <v>7.032</v>
      </c>
      <c r="Y587" s="75">
        <v>7.1210000000000004</v>
      </c>
      <c r="Z587" s="105">
        <v>8.0299999999999994</v>
      </c>
      <c r="AA587" s="104"/>
      <c r="AF587" s="105"/>
    </row>
    <row r="588" spans="2:32" x14ac:dyDescent="0.3">
      <c r="B588" s="111">
        <v>97.16666666666724</v>
      </c>
      <c r="C588" s="104"/>
      <c r="H588" s="105"/>
      <c r="I588" s="104"/>
      <c r="N588" s="105"/>
      <c r="O588" s="104">
        <v>21.23</v>
      </c>
      <c r="P588" s="75">
        <v>21.23</v>
      </c>
      <c r="Q588" s="75">
        <v>21.19</v>
      </c>
      <c r="R588" s="75">
        <v>5.2439999999999998</v>
      </c>
      <c r="S588" s="75">
        <v>5.2809999999999997</v>
      </c>
      <c r="T588" s="105">
        <v>5.33</v>
      </c>
      <c r="U588" s="104">
        <v>21.29</v>
      </c>
      <c r="V588" s="75">
        <v>21.28</v>
      </c>
      <c r="W588" s="75">
        <v>21.15</v>
      </c>
      <c r="X588" s="75">
        <v>5.7990000000000004</v>
      </c>
      <c r="Y588" s="75">
        <v>5.5990000000000002</v>
      </c>
      <c r="Z588" s="105">
        <v>5.8940000000000001</v>
      </c>
      <c r="AA588" s="104"/>
      <c r="AF588" s="105"/>
    </row>
    <row r="589" spans="2:32" x14ac:dyDescent="0.3">
      <c r="B589" s="111">
        <v>97.333333333333911</v>
      </c>
      <c r="C589" s="104"/>
      <c r="H589" s="105"/>
      <c r="I589" s="104"/>
      <c r="N589" s="105"/>
      <c r="O589" s="104">
        <v>21.3</v>
      </c>
      <c r="P589" s="75">
        <v>21.3</v>
      </c>
      <c r="Q589" s="75">
        <v>21.26</v>
      </c>
      <c r="R589" s="75">
        <v>5.4619999999999997</v>
      </c>
      <c r="S589" s="75">
        <v>5.4480000000000004</v>
      </c>
      <c r="T589" s="105">
        <v>5.258</v>
      </c>
      <c r="U589" s="104">
        <v>21.41</v>
      </c>
      <c r="V589" s="75">
        <v>21.4</v>
      </c>
      <c r="W589" s="75">
        <v>21.28</v>
      </c>
      <c r="X589" s="75">
        <v>4.5190000000000001</v>
      </c>
      <c r="Y589" s="75">
        <v>4.7859999999999996</v>
      </c>
      <c r="Z589" s="105">
        <v>4.4859999999999998</v>
      </c>
      <c r="AA589" s="104"/>
      <c r="AF589" s="105"/>
    </row>
    <row r="590" spans="2:32" x14ac:dyDescent="0.3">
      <c r="B590" s="111">
        <v>97.500000000000583</v>
      </c>
      <c r="C590" s="104"/>
      <c r="H590" s="105"/>
      <c r="I590" s="104"/>
      <c r="N590" s="105"/>
      <c r="O590" s="104">
        <v>21.37</v>
      </c>
      <c r="P590" s="75">
        <v>21.37</v>
      </c>
      <c r="Q590" s="75">
        <v>21.34</v>
      </c>
      <c r="R590" s="75">
        <v>5.1909999999999998</v>
      </c>
      <c r="S590" s="75">
        <v>5.2919999999999998</v>
      </c>
      <c r="T590" s="105">
        <v>5.3639999999999999</v>
      </c>
      <c r="U590" s="104">
        <v>21.52</v>
      </c>
      <c r="V590" s="75">
        <v>21.5</v>
      </c>
      <c r="W590" s="75">
        <v>21.39</v>
      </c>
      <c r="X590" s="75">
        <v>3.3079999999999998</v>
      </c>
      <c r="Y590" s="75">
        <v>3.98</v>
      </c>
      <c r="Z590" s="105">
        <v>3.782</v>
      </c>
      <c r="AA590" s="104"/>
      <c r="AF590" s="105"/>
    </row>
    <row r="591" spans="2:32" x14ac:dyDescent="0.3">
      <c r="B591" s="111">
        <v>97.666666666667254</v>
      </c>
      <c r="C591" s="104"/>
      <c r="H591" s="105"/>
      <c r="I591" s="104"/>
      <c r="N591" s="105"/>
      <c r="O591" s="104">
        <v>21.44</v>
      </c>
      <c r="P591" s="75">
        <v>21.44</v>
      </c>
      <c r="Q591" s="75">
        <v>21.41</v>
      </c>
      <c r="R591" s="75">
        <v>4.9850000000000003</v>
      </c>
      <c r="S591" s="75">
        <v>5.3929999999999998</v>
      </c>
      <c r="T591" s="105">
        <v>5.5510000000000002</v>
      </c>
      <c r="U591" s="104">
        <v>21.63</v>
      </c>
      <c r="V591" s="75">
        <v>21.59</v>
      </c>
      <c r="W591" s="75">
        <v>21.49</v>
      </c>
      <c r="X591" s="75">
        <v>2.4529999999999998</v>
      </c>
      <c r="Y591" s="75">
        <v>3.6019999999999999</v>
      </c>
      <c r="Z591" s="105">
        <v>3.4529999999999998</v>
      </c>
      <c r="AA591" s="104"/>
      <c r="AF591" s="105"/>
    </row>
    <row r="592" spans="2:32" x14ac:dyDescent="0.3">
      <c r="B592" s="111">
        <v>97.833333333333925</v>
      </c>
      <c r="C592" s="104"/>
      <c r="H592" s="105"/>
      <c r="I592" s="104"/>
      <c r="N592" s="105"/>
      <c r="O592" s="104">
        <v>21.51</v>
      </c>
      <c r="P592" s="75">
        <v>21.51</v>
      </c>
      <c r="Q592" s="75">
        <v>21.48</v>
      </c>
      <c r="R592" s="75">
        <v>4.9009999999999998</v>
      </c>
      <c r="S592" s="75">
        <v>4.9210000000000003</v>
      </c>
      <c r="T592" s="105">
        <v>5.4850000000000003</v>
      </c>
      <c r="U592" s="104">
        <v>21.71</v>
      </c>
      <c r="V592" s="75">
        <v>21.68</v>
      </c>
      <c r="W592" s="75">
        <v>21.57</v>
      </c>
      <c r="X592" s="75">
        <v>2.12</v>
      </c>
      <c r="Y592" s="75">
        <v>2.5750000000000002</v>
      </c>
      <c r="Z592" s="105">
        <v>3.0270000000000001</v>
      </c>
      <c r="AA592" s="104"/>
      <c r="AF592" s="105"/>
    </row>
    <row r="593" spans="2:32" x14ac:dyDescent="0.3">
      <c r="B593" s="111">
        <v>98.000000000000597</v>
      </c>
      <c r="C593" s="104"/>
      <c r="H593" s="105"/>
      <c r="I593" s="104"/>
      <c r="N593" s="105"/>
      <c r="O593" s="104">
        <v>21.59</v>
      </c>
      <c r="P593" s="75">
        <v>21.58</v>
      </c>
      <c r="Q593" s="75">
        <v>21.55</v>
      </c>
      <c r="R593" s="75">
        <v>4.843</v>
      </c>
      <c r="S593" s="75">
        <v>4.6959999999999997</v>
      </c>
      <c r="T593" s="105">
        <v>5.5030000000000001</v>
      </c>
      <c r="U593" s="104">
        <v>21.78</v>
      </c>
      <c r="V593" s="75">
        <v>21.78</v>
      </c>
      <c r="W593" s="75">
        <v>21.65</v>
      </c>
      <c r="X593" s="75">
        <v>2.0059999999999998</v>
      </c>
      <c r="Y593" s="75">
        <v>1.643</v>
      </c>
      <c r="Z593" s="105">
        <v>2.7570000000000001</v>
      </c>
      <c r="AA593" s="104"/>
      <c r="AF593" s="105"/>
    </row>
    <row r="594" spans="2:32" x14ac:dyDescent="0.3">
      <c r="B594" s="111">
        <v>98.166666666667268</v>
      </c>
      <c r="C594" s="104"/>
      <c r="H594" s="105"/>
      <c r="I594" s="104"/>
      <c r="N594" s="105"/>
      <c r="O594" s="104">
        <v>21.66</v>
      </c>
      <c r="P594" s="75">
        <v>21.66</v>
      </c>
      <c r="Q594" s="75">
        <v>21.63</v>
      </c>
      <c r="R594" s="75">
        <v>4.82</v>
      </c>
      <c r="S594" s="75">
        <v>4.9989999999999997</v>
      </c>
      <c r="T594" s="105">
        <v>5.6559999999999997</v>
      </c>
      <c r="U594" s="104">
        <v>21.86</v>
      </c>
      <c r="V594" s="75">
        <v>21.86</v>
      </c>
      <c r="W594" s="75">
        <v>21.73</v>
      </c>
      <c r="X594" s="75">
        <v>2.2010000000000001</v>
      </c>
      <c r="Y594" s="75">
        <v>1.6519999999999999</v>
      </c>
      <c r="Z594" s="105">
        <v>2.8260000000000001</v>
      </c>
      <c r="AA594" s="104"/>
      <c r="AF594" s="105"/>
    </row>
    <row r="595" spans="2:32" x14ac:dyDescent="0.3">
      <c r="B595" s="111">
        <v>98.33333333333394</v>
      </c>
      <c r="C595" s="104"/>
      <c r="H595" s="105"/>
      <c r="I595" s="104"/>
      <c r="N595" s="105"/>
      <c r="O595" s="104">
        <v>21.73</v>
      </c>
      <c r="P595" s="75">
        <v>21.73</v>
      </c>
      <c r="Q595" s="75">
        <v>21.7</v>
      </c>
      <c r="R595" s="75">
        <v>5.0549999999999997</v>
      </c>
      <c r="S595" s="75">
        <v>4.6900000000000004</v>
      </c>
      <c r="T595" s="105">
        <v>5.6340000000000003</v>
      </c>
      <c r="U595" s="104">
        <v>21.93</v>
      </c>
      <c r="V595" s="75">
        <v>21.93</v>
      </c>
      <c r="W595" s="75">
        <v>21.81</v>
      </c>
      <c r="X595" s="75">
        <v>2.0489999999999999</v>
      </c>
      <c r="Y595" s="75">
        <v>1.66</v>
      </c>
      <c r="Z595" s="105">
        <v>2.625</v>
      </c>
      <c r="AA595" s="104"/>
      <c r="AF595" s="105"/>
    </row>
    <row r="596" spans="2:32" x14ac:dyDescent="0.3">
      <c r="B596" s="111">
        <v>98.500000000000611</v>
      </c>
      <c r="C596" s="104"/>
      <c r="H596" s="105"/>
      <c r="I596" s="104"/>
      <c r="N596" s="105"/>
      <c r="O596" s="104">
        <v>21.8</v>
      </c>
      <c r="P596" s="75">
        <v>21.8</v>
      </c>
      <c r="Q596" s="75">
        <v>21.76</v>
      </c>
      <c r="R596" s="75">
        <v>4.9560000000000004</v>
      </c>
      <c r="S596" s="75">
        <v>5.056</v>
      </c>
      <c r="T596" s="105">
        <v>5.86</v>
      </c>
      <c r="U596" s="104">
        <v>22.01</v>
      </c>
      <c r="V596" s="75">
        <v>22.01</v>
      </c>
      <c r="W596" s="75">
        <v>21.88</v>
      </c>
      <c r="X596" s="75">
        <v>2.15</v>
      </c>
      <c r="Y596" s="75">
        <v>1.8380000000000001</v>
      </c>
      <c r="Z596" s="105">
        <v>2.7210000000000001</v>
      </c>
      <c r="AA596" s="104"/>
      <c r="AF596" s="105"/>
    </row>
    <row r="597" spans="2:32" x14ac:dyDescent="0.3">
      <c r="B597" s="111">
        <v>98.666666666667282</v>
      </c>
      <c r="C597" s="104"/>
      <c r="H597" s="105"/>
      <c r="I597" s="104"/>
      <c r="N597" s="105"/>
      <c r="O597" s="104">
        <v>21.87</v>
      </c>
      <c r="P597" s="75">
        <v>21.86</v>
      </c>
      <c r="Q597" s="75">
        <v>21.83</v>
      </c>
      <c r="R597" s="75">
        <v>5.1109999999999998</v>
      </c>
      <c r="S597" s="75">
        <v>4.8760000000000003</v>
      </c>
      <c r="T597" s="105">
        <v>5.89</v>
      </c>
      <c r="U597" s="104">
        <v>22.09</v>
      </c>
      <c r="V597" s="75">
        <v>22.09</v>
      </c>
      <c r="W597" s="75">
        <v>21.95</v>
      </c>
      <c r="X597" s="75">
        <v>2.1120000000000001</v>
      </c>
      <c r="Y597" s="75">
        <v>1.677</v>
      </c>
      <c r="Z597" s="105">
        <v>2.6419999999999999</v>
      </c>
      <c r="AA597" s="104"/>
      <c r="AF597" s="105"/>
    </row>
    <row r="598" spans="2:32" x14ac:dyDescent="0.3">
      <c r="B598" s="111">
        <v>98.833333333333954</v>
      </c>
      <c r="C598" s="104"/>
      <c r="H598" s="105"/>
      <c r="I598" s="104"/>
      <c r="N598" s="105"/>
      <c r="O598" s="104">
        <v>21.95</v>
      </c>
      <c r="P598" s="75">
        <v>21.94</v>
      </c>
      <c r="Q598" s="75">
        <v>21.9</v>
      </c>
      <c r="R598" s="75">
        <v>5.0979999999999999</v>
      </c>
      <c r="S598" s="75">
        <v>4.7610000000000001</v>
      </c>
      <c r="T598" s="105">
        <v>5.7060000000000004</v>
      </c>
      <c r="U598" s="104">
        <v>22.16</v>
      </c>
      <c r="V598" s="75">
        <v>22.16</v>
      </c>
      <c r="W598" s="75">
        <v>22.02</v>
      </c>
      <c r="X598" s="75">
        <v>2.0089999999999999</v>
      </c>
      <c r="Y598" s="75">
        <v>1.6859999999999999</v>
      </c>
      <c r="Z598" s="105">
        <v>2.3260000000000001</v>
      </c>
      <c r="AA598" s="104"/>
      <c r="AF598" s="105"/>
    </row>
    <row r="599" spans="2:32" x14ac:dyDescent="0.3">
      <c r="B599" s="111">
        <v>99.000000000000625</v>
      </c>
      <c r="C599" s="104"/>
      <c r="H599" s="105"/>
      <c r="I599" s="104"/>
      <c r="N599" s="105"/>
      <c r="O599" s="104">
        <v>22.02</v>
      </c>
      <c r="P599" s="75">
        <v>22.01</v>
      </c>
      <c r="Q599" s="75">
        <v>21.96</v>
      </c>
      <c r="R599" s="75">
        <v>5.1479999999999997</v>
      </c>
      <c r="S599" s="75">
        <v>4.7690000000000001</v>
      </c>
      <c r="T599" s="105">
        <v>5.8380000000000001</v>
      </c>
      <c r="U599" s="104">
        <v>22.24</v>
      </c>
      <c r="V599" s="75">
        <v>22.24</v>
      </c>
      <c r="W599" s="75">
        <v>22.08</v>
      </c>
      <c r="X599" s="75">
        <v>2.0070000000000001</v>
      </c>
      <c r="Y599" s="75">
        <v>1.9239999999999999</v>
      </c>
      <c r="Z599" s="105">
        <v>2.367</v>
      </c>
      <c r="AA599" s="104"/>
      <c r="AF599" s="105"/>
    </row>
    <row r="600" spans="2:32" x14ac:dyDescent="0.3">
      <c r="B600" s="111">
        <v>99.166666666667297</v>
      </c>
      <c r="C600" s="104"/>
      <c r="H600" s="105"/>
      <c r="I600" s="104"/>
      <c r="N600" s="105"/>
      <c r="O600" s="104">
        <v>22.09</v>
      </c>
      <c r="P600" s="75">
        <v>22.08</v>
      </c>
      <c r="Q600" s="75">
        <v>22.04</v>
      </c>
      <c r="R600" s="75">
        <v>5.274</v>
      </c>
      <c r="S600" s="75">
        <v>4.9210000000000003</v>
      </c>
      <c r="T600" s="105">
        <v>6.2949999999999999</v>
      </c>
      <c r="U600" s="104">
        <v>22.32</v>
      </c>
      <c r="V600" s="75">
        <v>22.32</v>
      </c>
      <c r="W600" s="75">
        <v>22.17</v>
      </c>
      <c r="X600" s="75">
        <v>2</v>
      </c>
      <c r="Y600" s="75">
        <v>1.7030000000000001</v>
      </c>
      <c r="Z600" s="105">
        <v>2.7959999999999998</v>
      </c>
      <c r="AA600" s="104"/>
      <c r="AF600" s="105"/>
    </row>
    <row r="601" spans="2:32" x14ac:dyDescent="0.3">
      <c r="B601" s="111">
        <v>99.333333333333968</v>
      </c>
      <c r="C601" s="104"/>
      <c r="H601" s="105"/>
      <c r="I601" s="104"/>
      <c r="N601" s="105"/>
      <c r="O601" s="104">
        <v>22.16</v>
      </c>
      <c r="P601" s="75">
        <v>22.15</v>
      </c>
      <c r="Q601" s="75">
        <v>22.13</v>
      </c>
      <c r="R601" s="75">
        <v>5.3819999999999997</v>
      </c>
      <c r="S601" s="75">
        <v>5.3630000000000004</v>
      </c>
      <c r="T601" s="105">
        <v>6.6</v>
      </c>
      <c r="U601" s="104">
        <v>22.4</v>
      </c>
      <c r="V601" s="75">
        <v>22.39</v>
      </c>
      <c r="W601" s="75">
        <v>22.25</v>
      </c>
      <c r="X601" s="75">
        <v>2</v>
      </c>
      <c r="Y601" s="75">
        <v>1.7110000000000001</v>
      </c>
      <c r="Z601" s="105">
        <v>3.032</v>
      </c>
      <c r="AA601" s="104"/>
      <c r="AF601" s="105"/>
    </row>
    <row r="602" spans="2:32" x14ac:dyDescent="0.3">
      <c r="B602" s="111">
        <v>99.500000000000639</v>
      </c>
      <c r="C602" s="104"/>
      <c r="H602" s="105"/>
      <c r="I602" s="104"/>
      <c r="N602" s="105"/>
      <c r="O602" s="104">
        <v>22.24</v>
      </c>
      <c r="P602" s="75">
        <v>22.22</v>
      </c>
      <c r="Q602" s="75">
        <v>22.2</v>
      </c>
      <c r="R602" s="75">
        <v>5.6360000000000001</v>
      </c>
      <c r="S602" s="75">
        <v>5.3970000000000002</v>
      </c>
      <c r="T602" s="105">
        <v>6.4340000000000002</v>
      </c>
      <c r="U602" s="104">
        <v>22.48</v>
      </c>
      <c r="V602" s="75">
        <v>22.48</v>
      </c>
      <c r="W602" s="75">
        <v>22.33</v>
      </c>
      <c r="X602" s="75">
        <v>1.61</v>
      </c>
      <c r="Y602" s="75">
        <v>1.871</v>
      </c>
      <c r="Z602" s="105">
        <v>2.6819999999999999</v>
      </c>
      <c r="AA602" s="104"/>
      <c r="AF602" s="105"/>
    </row>
    <row r="603" spans="2:32" x14ac:dyDescent="0.3">
      <c r="B603" s="111">
        <v>99.666666666667311</v>
      </c>
      <c r="C603" s="104"/>
      <c r="H603" s="105"/>
      <c r="I603" s="104"/>
      <c r="N603" s="105"/>
      <c r="O603" s="104">
        <v>22.31</v>
      </c>
      <c r="P603" s="75">
        <v>22.29</v>
      </c>
      <c r="Q603" s="75">
        <v>22.27</v>
      </c>
      <c r="R603" s="75">
        <v>5.61</v>
      </c>
      <c r="S603" s="75">
        <v>5.4530000000000003</v>
      </c>
      <c r="T603" s="105">
        <v>6.4610000000000003</v>
      </c>
      <c r="U603" s="104">
        <v>22.55</v>
      </c>
      <c r="V603" s="75">
        <v>22.55</v>
      </c>
      <c r="W603" s="75">
        <v>22.41</v>
      </c>
      <c r="X603" s="75">
        <v>2</v>
      </c>
      <c r="Y603" s="75">
        <v>1.7290000000000001</v>
      </c>
      <c r="Z603" s="105">
        <v>2.4830000000000001</v>
      </c>
      <c r="AA603" s="104"/>
      <c r="AF603" s="105"/>
    </row>
    <row r="604" spans="2:32" x14ac:dyDescent="0.3">
      <c r="B604" s="111">
        <v>99.833333333333982</v>
      </c>
      <c r="C604" s="104"/>
      <c r="H604" s="105"/>
      <c r="I604" s="104"/>
      <c r="N604" s="105"/>
      <c r="O604" s="104">
        <v>22.38</v>
      </c>
      <c r="P604" s="75">
        <v>22.36</v>
      </c>
      <c r="Q604" s="75">
        <v>22.35</v>
      </c>
      <c r="R604" s="75">
        <v>5.6340000000000003</v>
      </c>
      <c r="S604" s="75">
        <v>5.4610000000000003</v>
      </c>
      <c r="T604" s="105">
        <v>6.6870000000000003</v>
      </c>
      <c r="U604" s="104">
        <v>22.63</v>
      </c>
      <c r="V604" s="75">
        <v>22.62</v>
      </c>
      <c r="W604" s="75">
        <v>22.49</v>
      </c>
      <c r="X604" s="75">
        <v>1.99</v>
      </c>
      <c r="Y604" s="75">
        <v>1.7370000000000001</v>
      </c>
      <c r="Z604" s="105">
        <v>2.601</v>
      </c>
      <c r="AA604" s="104"/>
      <c r="AF604" s="105"/>
    </row>
    <row r="605" spans="2:32" x14ac:dyDescent="0.3">
      <c r="B605" s="111">
        <v>100.00000000000065</v>
      </c>
      <c r="C605" s="104"/>
      <c r="H605" s="105"/>
      <c r="I605" s="104"/>
      <c r="N605" s="105"/>
      <c r="O605" s="104">
        <v>22.45</v>
      </c>
      <c r="P605" s="75">
        <v>22.43</v>
      </c>
      <c r="Q605" s="75">
        <v>22.41</v>
      </c>
      <c r="R605" s="75">
        <v>5.3380000000000001</v>
      </c>
      <c r="S605" s="75">
        <v>5.4690000000000003</v>
      </c>
      <c r="T605" s="105">
        <v>6.6070000000000002</v>
      </c>
      <c r="U605" s="104">
        <v>22.7</v>
      </c>
      <c r="V605" s="75">
        <v>22.7</v>
      </c>
      <c r="W605" s="75">
        <v>22.56</v>
      </c>
      <c r="X605" s="75">
        <v>2.21</v>
      </c>
      <c r="Y605" s="75">
        <v>1.5649999999999999</v>
      </c>
      <c r="Z605" s="105">
        <v>2.3929999999999998</v>
      </c>
      <c r="AA605" s="104"/>
      <c r="AF605" s="105"/>
    </row>
    <row r="606" spans="2:32" x14ac:dyDescent="0.3">
      <c r="B606" s="111">
        <v>100.16666666666733</v>
      </c>
      <c r="C606" s="104"/>
      <c r="H606" s="105"/>
      <c r="I606" s="104"/>
      <c r="N606" s="105"/>
      <c r="O606" s="104">
        <v>22.52</v>
      </c>
      <c r="P606" s="75">
        <v>22.5</v>
      </c>
      <c r="Q606" s="75">
        <v>22.48</v>
      </c>
      <c r="R606" s="75">
        <v>5.4660000000000002</v>
      </c>
      <c r="S606" s="75">
        <v>5.9409999999999998</v>
      </c>
      <c r="T606" s="105">
        <v>6.5670000000000002</v>
      </c>
      <c r="U606" s="104">
        <v>22.78</v>
      </c>
      <c r="V606" s="75">
        <v>22.78</v>
      </c>
      <c r="W606" s="75">
        <v>22.62</v>
      </c>
      <c r="X606" s="75">
        <v>1.99</v>
      </c>
      <c r="Y606" s="75">
        <v>1.754</v>
      </c>
      <c r="Z606" s="105">
        <v>2.157</v>
      </c>
      <c r="AA606" s="104"/>
      <c r="AF606" s="105"/>
    </row>
    <row r="607" spans="2:32" x14ac:dyDescent="0.3">
      <c r="B607" s="111">
        <v>100.333333333334</v>
      </c>
      <c r="C607" s="104"/>
      <c r="H607" s="105"/>
      <c r="I607" s="104"/>
      <c r="N607" s="105"/>
      <c r="O607" s="104">
        <v>22.6</v>
      </c>
      <c r="P607" s="75">
        <v>22.58</v>
      </c>
      <c r="Q607" s="75">
        <v>22.55</v>
      </c>
      <c r="R607" s="75">
        <v>5.4729999999999999</v>
      </c>
      <c r="S607" s="75">
        <v>5.4850000000000003</v>
      </c>
      <c r="T607" s="105">
        <v>6.758</v>
      </c>
      <c r="U607" s="104">
        <v>22.86</v>
      </c>
      <c r="V607" s="75">
        <v>22.85</v>
      </c>
      <c r="W607" s="75">
        <v>22.7</v>
      </c>
      <c r="X607" s="75">
        <v>1.98</v>
      </c>
      <c r="Y607" s="75">
        <v>1.7629999999999999</v>
      </c>
      <c r="Z607" s="105">
        <v>2.2930000000000001</v>
      </c>
      <c r="AA607" s="104"/>
      <c r="AF607" s="105"/>
    </row>
    <row r="608" spans="2:32" x14ac:dyDescent="0.3">
      <c r="B608" s="111">
        <v>100.50000000000067</v>
      </c>
      <c r="C608" s="104"/>
      <c r="H608" s="105"/>
      <c r="I608" s="104"/>
      <c r="N608" s="105"/>
      <c r="O608" s="104">
        <v>22.67</v>
      </c>
      <c r="P608" s="75">
        <v>22.65</v>
      </c>
      <c r="Q608" s="75">
        <v>22.62</v>
      </c>
      <c r="R608" s="75">
        <v>5.7229999999999999</v>
      </c>
      <c r="S608" s="75">
        <v>5.4939999999999998</v>
      </c>
      <c r="T608" s="105">
        <v>6.9509999999999996</v>
      </c>
      <c r="U608" s="104">
        <v>22.93</v>
      </c>
      <c r="V608" s="75">
        <v>22.93</v>
      </c>
      <c r="W608" s="75">
        <v>22.77</v>
      </c>
      <c r="X608" s="75">
        <v>2.34</v>
      </c>
      <c r="Y608" s="75">
        <v>1.472</v>
      </c>
      <c r="Z608" s="105">
        <v>2.3849999999999998</v>
      </c>
      <c r="AA608" s="104"/>
      <c r="AF608" s="105"/>
    </row>
    <row r="609" spans="2:32" x14ac:dyDescent="0.3">
      <c r="B609" s="111">
        <v>100.66666666666734</v>
      </c>
      <c r="C609" s="104"/>
      <c r="H609" s="105"/>
      <c r="I609" s="104"/>
      <c r="N609" s="105"/>
      <c r="O609" s="104">
        <v>22.74</v>
      </c>
      <c r="P609" s="75">
        <v>22.72</v>
      </c>
      <c r="Q609" s="75">
        <v>22.69</v>
      </c>
      <c r="R609" s="75">
        <v>5.3940000000000001</v>
      </c>
      <c r="S609" s="75">
        <v>5.7350000000000003</v>
      </c>
      <c r="T609" s="105">
        <v>6.952</v>
      </c>
      <c r="U609" s="104">
        <v>23.01</v>
      </c>
      <c r="V609" s="75">
        <v>23.01</v>
      </c>
      <c r="W609" s="75">
        <v>22.84</v>
      </c>
      <c r="X609" s="75">
        <v>1.98</v>
      </c>
      <c r="Y609" s="75">
        <v>1.78</v>
      </c>
      <c r="Z609" s="105">
        <v>2.198</v>
      </c>
      <c r="AA609" s="104"/>
      <c r="AF609" s="105"/>
    </row>
    <row r="610" spans="2:32" x14ac:dyDescent="0.3">
      <c r="B610" s="111">
        <v>100.83333333333401</v>
      </c>
      <c r="C610" s="104"/>
      <c r="H610" s="105"/>
      <c r="I610" s="104"/>
      <c r="N610" s="105"/>
      <c r="O610" s="104">
        <v>22.81</v>
      </c>
      <c r="P610" s="75">
        <v>22.79</v>
      </c>
      <c r="Q610" s="75">
        <v>22.76</v>
      </c>
      <c r="R610" s="75">
        <v>5.4909999999999997</v>
      </c>
      <c r="S610" s="75">
        <v>5.51</v>
      </c>
      <c r="T610" s="105">
        <v>6.9219999999999997</v>
      </c>
      <c r="U610" s="104">
        <v>23.09</v>
      </c>
      <c r="V610" s="75">
        <v>23.08</v>
      </c>
      <c r="W610" s="75">
        <v>22.91</v>
      </c>
      <c r="X610" s="75">
        <v>1.98</v>
      </c>
      <c r="Y610" s="75">
        <v>1.788</v>
      </c>
      <c r="Z610" s="105">
        <v>2.0870000000000002</v>
      </c>
      <c r="AA610" s="104"/>
      <c r="AF610" s="105"/>
    </row>
    <row r="611" spans="2:32" x14ac:dyDescent="0.3">
      <c r="B611" s="111">
        <v>101.00000000000068</v>
      </c>
      <c r="C611" s="104"/>
      <c r="H611" s="105"/>
      <c r="I611" s="104"/>
      <c r="N611" s="105"/>
      <c r="O611" s="104">
        <v>22.89</v>
      </c>
      <c r="P611" s="75">
        <v>22.86</v>
      </c>
      <c r="Q611" s="75">
        <v>22.82</v>
      </c>
      <c r="R611" s="75">
        <v>5.65</v>
      </c>
      <c r="S611" s="75">
        <v>5.5940000000000003</v>
      </c>
      <c r="T611" s="105">
        <v>6.8259999999999996</v>
      </c>
      <c r="U611" s="104">
        <v>23.16</v>
      </c>
      <c r="V611" s="75">
        <v>23.16</v>
      </c>
      <c r="W611" s="75">
        <v>22.97</v>
      </c>
      <c r="X611" s="75">
        <v>2.12</v>
      </c>
      <c r="Y611" s="75">
        <v>1.6140000000000001</v>
      </c>
      <c r="Z611" s="105">
        <v>1.917</v>
      </c>
      <c r="AA611" s="104"/>
      <c r="AF611" s="105"/>
    </row>
    <row r="612" spans="2:32" x14ac:dyDescent="0.3">
      <c r="B612" s="111">
        <v>101.16666666666735</v>
      </c>
      <c r="C612" s="104"/>
      <c r="H612" s="105"/>
      <c r="I612" s="104"/>
      <c r="N612" s="105"/>
      <c r="O612" s="104">
        <v>22.96</v>
      </c>
      <c r="P612" s="75">
        <v>22.92</v>
      </c>
      <c r="Q612" s="75">
        <v>22.89</v>
      </c>
      <c r="R612" s="75">
        <v>5.7990000000000004</v>
      </c>
      <c r="S612" s="75">
        <v>5.6790000000000003</v>
      </c>
      <c r="T612" s="105">
        <v>7.1740000000000004</v>
      </c>
      <c r="U612" s="104">
        <v>23.24</v>
      </c>
      <c r="V612" s="75">
        <v>23.24</v>
      </c>
      <c r="W612" s="75">
        <v>23.04</v>
      </c>
      <c r="X612" s="75">
        <v>1.97</v>
      </c>
      <c r="Y612" s="75">
        <v>1.806</v>
      </c>
      <c r="Z612" s="105">
        <v>2.1269999999999998</v>
      </c>
      <c r="AA612" s="104"/>
      <c r="AF612" s="105"/>
    </row>
    <row r="613" spans="2:32" x14ac:dyDescent="0.3">
      <c r="B613" s="111">
        <v>101.33333333333402</v>
      </c>
      <c r="C613" s="104"/>
      <c r="H613" s="105"/>
      <c r="I613" s="104"/>
      <c r="N613" s="105"/>
      <c r="O613" s="104">
        <v>23.03</v>
      </c>
      <c r="P613" s="75">
        <v>23</v>
      </c>
      <c r="Q613" s="75">
        <v>22.96</v>
      </c>
      <c r="R613" s="75">
        <v>5.6760000000000002</v>
      </c>
      <c r="S613" s="75">
        <v>5.9180000000000001</v>
      </c>
      <c r="T613" s="105">
        <v>7.3</v>
      </c>
      <c r="U613" s="104">
        <v>23.32</v>
      </c>
      <c r="V613" s="75">
        <v>23.31</v>
      </c>
      <c r="W613" s="75">
        <v>23.11</v>
      </c>
      <c r="X613" s="75">
        <v>1.97</v>
      </c>
      <c r="Y613" s="75">
        <v>1.8140000000000001</v>
      </c>
      <c r="Z613" s="105">
        <v>2.1920000000000002</v>
      </c>
      <c r="AA613" s="104"/>
      <c r="AF613" s="105"/>
    </row>
    <row r="614" spans="2:32" x14ac:dyDescent="0.3">
      <c r="B614" s="111">
        <v>101.5000000000007</v>
      </c>
      <c r="C614" s="104"/>
      <c r="H614" s="105"/>
      <c r="I614" s="104"/>
      <c r="N614" s="105"/>
      <c r="O614" s="104">
        <v>23.1</v>
      </c>
      <c r="P614" s="75">
        <v>23.07</v>
      </c>
      <c r="Q614" s="75">
        <v>23.03</v>
      </c>
      <c r="R614" s="75">
        <v>5.7919999999999998</v>
      </c>
      <c r="S614" s="75">
        <v>5.8479999999999999</v>
      </c>
      <c r="T614" s="105">
        <v>7.4269999999999996</v>
      </c>
      <c r="U614" s="104">
        <v>23.39</v>
      </c>
      <c r="V614" s="75">
        <v>23.39</v>
      </c>
      <c r="W614" s="75">
        <v>23.19</v>
      </c>
      <c r="X614" s="75">
        <v>2.39</v>
      </c>
      <c r="Y614" s="75">
        <v>1.5209999999999999</v>
      </c>
      <c r="Z614" s="105">
        <v>2.1739999999999999</v>
      </c>
      <c r="AA614" s="104"/>
      <c r="AF614" s="105"/>
    </row>
    <row r="615" spans="2:32" x14ac:dyDescent="0.3">
      <c r="B615" s="111">
        <v>101.66666666666737</v>
      </c>
      <c r="C615" s="104"/>
      <c r="H615" s="105"/>
      <c r="I615" s="104"/>
      <c r="N615" s="105"/>
      <c r="O615" s="104">
        <v>23.17</v>
      </c>
      <c r="P615" s="75">
        <v>23.14</v>
      </c>
      <c r="Q615" s="75">
        <v>23.11</v>
      </c>
      <c r="R615" s="75">
        <v>5.7130000000000001</v>
      </c>
      <c r="S615" s="75">
        <v>5.9320000000000004</v>
      </c>
      <c r="T615" s="105">
        <v>7.7110000000000003</v>
      </c>
      <c r="U615" s="104">
        <v>23.47</v>
      </c>
      <c r="V615" s="75">
        <v>23.47</v>
      </c>
      <c r="W615" s="75">
        <v>23.27</v>
      </c>
      <c r="X615" s="75">
        <v>1.96</v>
      </c>
      <c r="Y615" s="75">
        <v>1.831</v>
      </c>
      <c r="Z615" s="105">
        <v>2.3879999999999999</v>
      </c>
      <c r="AA615" s="104"/>
      <c r="AF615" s="105"/>
    </row>
    <row r="616" spans="2:32" x14ac:dyDescent="0.3">
      <c r="B616" s="111">
        <v>101.83333333333404</v>
      </c>
      <c r="C616" s="104"/>
      <c r="H616" s="105"/>
      <c r="I616" s="104"/>
      <c r="N616" s="105"/>
      <c r="O616" s="104">
        <v>23.25</v>
      </c>
      <c r="P616" s="75">
        <v>23.21</v>
      </c>
      <c r="Q616" s="75">
        <v>23.18</v>
      </c>
      <c r="R616" s="75">
        <v>5.7969999999999997</v>
      </c>
      <c r="S616" s="75">
        <v>6.2690000000000001</v>
      </c>
      <c r="T616" s="105">
        <v>7.8879999999999999</v>
      </c>
      <c r="U616" s="104">
        <v>23.55</v>
      </c>
      <c r="V616" s="75">
        <v>23.54</v>
      </c>
      <c r="W616" s="75">
        <v>23.35</v>
      </c>
      <c r="X616" s="75">
        <v>1.96</v>
      </c>
      <c r="Y616" s="75">
        <v>1.84</v>
      </c>
      <c r="Z616" s="105">
        <v>2.399</v>
      </c>
      <c r="AA616" s="104"/>
      <c r="AF616" s="105"/>
    </row>
    <row r="617" spans="2:32" x14ac:dyDescent="0.3">
      <c r="B617" s="111">
        <v>102.00000000000071</v>
      </c>
      <c r="C617" s="104"/>
      <c r="H617" s="105"/>
      <c r="I617" s="104"/>
      <c r="N617" s="105"/>
      <c r="O617" s="104">
        <v>23.31</v>
      </c>
      <c r="P617" s="75">
        <v>23.28</v>
      </c>
      <c r="Q617" s="75">
        <v>23.25</v>
      </c>
      <c r="R617" s="75">
        <v>6.0279999999999996</v>
      </c>
      <c r="S617" s="75">
        <v>6.101</v>
      </c>
      <c r="T617" s="105">
        <v>7.891</v>
      </c>
      <c r="U617" s="104">
        <v>23.62</v>
      </c>
      <c r="V617" s="75">
        <v>23.62</v>
      </c>
      <c r="W617" s="75">
        <v>23.42</v>
      </c>
      <c r="X617" s="75">
        <v>1.96</v>
      </c>
      <c r="Y617" s="75">
        <v>1.748</v>
      </c>
      <c r="Z617" s="105">
        <v>2.177</v>
      </c>
      <c r="AA617" s="104"/>
      <c r="AF617" s="105"/>
    </row>
    <row r="618" spans="2:32" x14ac:dyDescent="0.3">
      <c r="B618" s="111">
        <v>102.16666666666738</v>
      </c>
      <c r="C618" s="104"/>
      <c r="H618" s="105"/>
      <c r="I618" s="104"/>
      <c r="N618" s="105"/>
      <c r="O618" s="104">
        <v>23.39</v>
      </c>
      <c r="P618" s="75">
        <v>23.36</v>
      </c>
      <c r="Q618" s="75">
        <v>23.31</v>
      </c>
      <c r="R618" s="75">
        <v>6.1189999999999998</v>
      </c>
      <c r="S618" s="75">
        <v>6.1859999999999999</v>
      </c>
      <c r="T618" s="105">
        <v>7.7439999999999998</v>
      </c>
      <c r="U618" s="104">
        <v>23.7</v>
      </c>
      <c r="V618" s="75">
        <v>23.7</v>
      </c>
      <c r="W618" s="75">
        <v>23.49</v>
      </c>
      <c r="X618" s="75">
        <v>1.95</v>
      </c>
      <c r="Y618" s="75">
        <v>1.857</v>
      </c>
      <c r="Z618" s="105">
        <v>1.91</v>
      </c>
      <c r="AA618" s="104"/>
      <c r="AF618" s="105"/>
    </row>
    <row r="619" spans="2:32" x14ac:dyDescent="0.3">
      <c r="B619" s="111">
        <v>102.33333333333405</v>
      </c>
      <c r="C619" s="104"/>
      <c r="H619" s="105"/>
      <c r="I619" s="104"/>
      <c r="N619" s="105"/>
      <c r="O619" s="104">
        <v>23.46</v>
      </c>
      <c r="P619" s="75">
        <v>23.43</v>
      </c>
      <c r="Q619" s="75">
        <v>23.38</v>
      </c>
      <c r="R619" s="75">
        <v>6.0709999999999997</v>
      </c>
      <c r="S619" s="75">
        <v>6.0529999999999999</v>
      </c>
      <c r="T619" s="105">
        <v>7.9660000000000002</v>
      </c>
      <c r="U619" s="104">
        <v>23.78</v>
      </c>
      <c r="V619" s="75">
        <v>23.77</v>
      </c>
      <c r="W619" s="75">
        <v>23.56</v>
      </c>
      <c r="X619" s="75">
        <v>1.95</v>
      </c>
      <c r="Y619" s="75">
        <v>1.865</v>
      </c>
      <c r="Z619" s="105">
        <v>2.0339999999999998</v>
      </c>
      <c r="AA619" s="104"/>
      <c r="AF619" s="105"/>
    </row>
    <row r="620" spans="2:32" x14ac:dyDescent="0.3">
      <c r="B620" s="111">
        <v>102.50000000000072</v>
      </c>
      <c r="C620" s="104"/>
      <c r="H620" s="105"/>
      <c r="I620" s="104"/>
      <c r="N620" s="105"/>
      <c r="O620" s="104">
        <v>23.53</v>
      </c>
      <c r="P620" s="75">
        <v>23.5</v>
      </c>
      <c r="Q620" s="75">
        <v>23.46</v>
      </c>
      <c r="R620" s="75">
        <v>6.2690000000000001</v>
      </c>
      <c r="S620" s="75">
        <v>6.3550000000000004</v>
      </c>
      <c r="T620" s="105">
        <v>8.18</v>
      </c>
      <c r="U620" s="104">
        <v>23.85</v>
      </c>
      <c r="V620" s="75">
        <v>23.85</v>
      </c>
      <c r="W620" s="75">
        <v>23.63</v>
      </c>
      <c r="X620" s="75">
        <v>1.44</v>
      </c>
      <c r="Y620" s="75">
        <v>1.897</v>
      </c>
      <c r="Z620" s="105">
        <v>2.0830000000000002</v>
      </c>
      <c r="AA620" s="104"/>
      <c r="AF620" s="105"/>
    </row>
    <row r="621" spans="2:32" x14ac:dyDescent="0.3">
      <c r="B621" s="111">
        <v>102.6666666666674</v>
      </c>
      <c r="C621" s="104"/>
      <c r="H621" s="105"/>
      <c r="I621" s="104"/>
      <c r="N621" s="105"/>
      <c r="O621" s="104">
        <v>23.61</v>
      </c>
      <c r="P621" s="75">
        <v>23.57</v>
      </c>
      <c r="Q621" s="75">
        <v>23.52</v>
      </c>
      <c r="R621" s="75">
        <v>6.4089999999999998</v>
      </c>
      <c r="S621" s="75">
        <v>6.4390000000000001</v>
      </c>
      <c r="T621" s="105">
        <v>8.1</v>
      </c>
      <c r="U621" s="104">
        <v>23.93</v>
      </c>
      <c r="V621" s="75">
        <v>23.93</v>
      </c>
      <c r="W621" s="75">
        <v>23.7</v>
      </c>
      <c r="X621" s="75">
        <v>1.94</v>
      </c>
      <c r="Y621" s="75">
        <v>1.883</v>
      </c>
      <c r="Z621" s="105">
        <v>1.9059999999999999</v>
      </c>
      <c r="AA621" s="104"/>
      <c r="AF621" s="105"/>
    </row>
    <row r="622" spans="2:32" x14ac:dyDescent="0.3">
      <c r="B622" s="111">
        <v>102.83333333333407</v>
      </c>
      <c r="C622" s="104"/>
      <c r="H622" s="105"/>
      <c r="I622" s="104"/>
      <c r="N622" s="105"/>
      <c r="O622" s="104">
        <v>23.68</v>
      </c>
      <c r="P622" s="75">
        <v>23.64</v>
      </c>
      <c r="Q622" s="75">
        <v>23.59</v>
      </c>
      <c r="R622" s="75">
        <v>6.24</v>
      </c>
      <c r="S622" s="75">
        <v>6.7779999999999996</v>
      </c>
      <c r="T622" s="105">
        <v>8.2799999999999994</v>
      </c>
      <c r="U622" s="104">
        <v>24.01</v>
      </c>
      <c r="V622" s="75">
        <v>24</v>
      </c>
      <c r="W622" s="75">
        <v>23.78</v>
      </c>
      <c r="X622" s="75">
        <v>1.94</v>
      </c>
      <c r="Y622" s="75">
        <v>1.891</v>
      </c>
      <c r="Z622" s="105">
        <v>1.954</v>
      </c>
      <c r="AA622" s="104"/>
      <c r="AF622" s="105"/>
    </row>
    <row r="623" spans="2:32" x14ac:dyDescent="0.3">
      <c r="B623" s="111">
        <v>103.00000000000074</v>
      </c>
      <c r="C623" s="104"/>
      <c r="H623" s="105"/>
      <c r="I623" s="104"/>
      <c r="N623" s="105"/>
      <c r="O623" s="104">
        <v>23.75</v>
      </c>
      <c r="P623" s="75">
        <v>23.71</v>
      </c>
      <c r="Q623" s="75">
        <v>23.65</v>
      </c>
      <c r="R623" s="75">
        <v>6.7709999999999999</v>
      </c>
      <c r="S623" s="75">
        <v>6.6079999999999997</v>
      </c>
      <c r="T623" s="105">
        <v>8.4</v>
      </c>
      <c r="U623" s="104">
        <v>24.09</v>
      </c>
      <c r="V623" s="75">
        <v>24.08</v>
      </c>
      <c r="W623" s="75">
        <v>23.84</v>
      </c>
      <c r="X623" s="75">
        <v>2.04</v>
      </c>
      <c r="Y623" s="75">
        <v>2.3580000000000001</v>
      </c>
      <c r="Z623" s="105">
        <v>1.9770000000000001</v>
      </c>
      <c r="AA623" s="104"/>
      <c r="AF623" s="105"/>
    </row>
    <row r="624" spans="2:32" x14ac:dyDescent="0.3">
      <c r="B624" s="111">
        <v>103.16666666666741</v>
      </c>
      <c r="C624" s="104"/>
      <c r="H624" s="105"/>
      <c r="I624" s="104"/>
      <c r="N624" s="105"/>
      <c r="O624" s="104">
        <v>23.84</v>
      </c>
      <c r="P624" s="75">
        <v>23.78</v>
      </c>
      <c r="Q624" s="75">
        <v>23.71</v>
      </c>
      <c r="R624" s="75">
        <v>6.7549999999999999</v>
      </c>
      <c r="S624" s="75">
        <v>6.6920000000000002</v>
      </c>
      <c r="T624" s="105">
        <v>8.24</v>
      </c>
      <c r="U624" s="104">
        <v>24.17</v>
      </c>
      <c r="V624" s="75">
        <v>24.16</v>
      </c>
      <c r="W624" s="75">
        <v>23.9</v>
      </c>
      <c r="X624" s="75">
        <v>1.93</v>
      </c>
      <c r="Y624" s="75">
        <v>1.9079999999999999</v>
      </c>
      <c r="Z624" s="105">
        <v>1.673</v>
      </c>
      <c r="AA624" s="104"/>
      <c r="AF624" s="105"/>
    </row>
    <row r="625" spans="2:32" x14ac:dyDescent="0.3">
      <c r="B625" s="111">
        <v>103.33333333333408</v>
      </c>
      <c r="C625" s="104"/>
      <c r="H625" s="105"/>
      <c r="I625" s="104"/>
      <c r="N625" s="105"/>
      <c r="O625" s="104">
        <v>23.91</v>
      </c>
      <c r="P625" s="75">
        <v>23.85</v>
      </c>
      <c r="Q625" s="75">
        <v>23.78</v>
      </c>
      <c r="R625" s="75">
        <v>6.75</v>
      </c>
      <c r="S625" s="75">
        <v>6.556</v>
      </c>
      <c r="T625" s="105">
        <v>8.49</v>
      </c>
      <c r="U625" s="104">
        <v>24.24</v>
      </c>
      <c r="V625" s="75">
        <v>24.23</v>
      </c>
      <c r="W625" s="75">
        <v>23.98</v>
      </c>
      <c r="X625" s="75">
        <v>1.93</v>
      </c>
      <c r="Y625" s="75">
        <v>1.917</v>
      </c>
      <c r="Z625" s="105">
        <v>1.86</v>
      </c>
      <c r="AA625" s="104"/>
      <c r="AF625" s="105"/>
    </row>
    <row r="626" spans="2:32" x14ac:dyDescent="0.3">
      <c r="B626" s="111">
        <v>103.50000000000075</v>
      </c>
      <c r="C626" s="104"/>
      <c r="H626" s="105"/>
      <c r="I626" s="104"/>
      <c r="N626" s="105"/>
      <c r="O626" s="104">
        <v>23.99</v>
      </c>
      <c r="P626" s="75">
        <v>23.92</v>
      </c>
      <c r="Q626" s="75">
        <v>23.85</v>
      </c>
      <c r="R626" s="75">
        <v>6.681</v>
      </c>
      <c r="S626" s="75">
        <v>6.8609999999999998</v>
      </c>
      <c r="T626" s="105">
        <v>8.7799999999999994</v>
      </c>
      <c r="U626" s="104">
        <v>24.32</v>
      </c>
      <c r="V626" s="75">
        <v>24.31</v>
      </c>
      <c r="W626" s="75">
        <v>24.05</v>
      </c>
      <c r="X626" s="75">
        <v>1.27</v>
      </c>
      <c r="Y626" s="75">
        <v>2.0289999999999999</v>
      </c>
      <c r="Z626" s="105">
        <v>2.004</v>
      </c>
      <c r="AA626" s="104"/>
      <c r="AF626" s="105"/>
    </row>
    <row r="627" spans="2:32" x14ac:dyDescent="0.3">
      <c r="B627" s="111">
        <v>103.66666666666742</v>
      </c>
      <c r="C627" s="104"/>
      <c r="H627" s="105"/>
      <c r="I627" s="104"/>
      <c r="N627" s="105"/>
      <c r="O627" s="104">
        <v>24.05</v>
      </c>
      <c r="P627" s="75">
        <v>23.99</v>
      </c>
      <c r="Q627" s="75">
        <v>23.92</v>
      </c>
      <c r="R627" s="75">
        <v>6.4710000000000001</v>
      </c>
      <c r="S627" s="75">
        <v>6.9459999999999997</v>
      </c>
      <c r="T627" s="105">
        <v>8.94</v>
      </c>
      <c r="U627" s="104">
        <v>24.4</v>
      </c>
      <c r="V627" s="75">
        <v>24.39</v>
      </c>
      <c r="W627" s="75">
        <v>24.13</v>
      </c>
      <c r="X627" s="75">
        <v>1.93</v>
      </c>
      <c r="Y627" s="75">
        <v>1.9339999999999999</v>
      </c>
      <c r="Z627" s="105">
        <v>2.0569999999999999</v>
      </c>
      <c r="AA627" s="104"/>
      <c r="AF627" s="105"/>
    </row>
    <row r="628" spans="2:32" x14ac:dyDescent="0.3">
      <c r="B628" s="111">
        <v>103.8333333333341</v>
      </c>
      <c r="C628" s="104"/>
      <c r="H628" s="105"/>
      <c r="I628" s="104"/>
      <c r="N628" s="105"/>
      <c r="O628" s="104">
        <v>24.12</v>
      </c>
      <c r="P628" s="75">
        <v>24.06</v>
      </c>
      <c r="Q628" s="75">
        <v>23.98</v>
      </c>
      <c r="R628" s="75">
        <v>6.9119999999999999</v>
      </c>
      <c r="S628" s="75">
        <v>7.4039999999999999</v>
      </c>
      <c r="T628" s="105">
        <v>8.83</v>
      </c>
      <c r="U628" s="104">
        <v>24.47</v>
      </c>
      <c r="V628" s="75">
        <v>24.46</v>
      </c>
      <c r="W628" s="75">
        <v>24.19</v>
      </c>
      <c r="X628" s="75">
        <v>1.92</v>
      </c>
      <c r="Y628" s="75">
        <v>1.9419999999999999</v>
      </c>
      <c r="Z628" s="105">
        <v>1.734</v>
      </c>
      <c r="AA628" s="104"/>
      <c r="AF628" s="105"/>
    </row>
    <row r="629" spans="2:32" x14ac:dyDescent="0.3">
      <c r="B629" s="111">
        <v>104.00000000000077</v>
      </c>
      <c r="C629" s="104"/>
      <c r="H629" s="105"/>
      <c r="I629" s="104"/>
      <c r="N629" s="105"/>
      <c r="O629" s="104">
        <v>24.15</v>
      </c>
      <c r="P629" s="75">
        <v>24.13</v>
      </c>
      <c r="Q629" s="75">
        <v>24.05</v>
      </c>
      <c r="R629" s="75">
        <v>6.6890000000000001</v>
      </c>
      <c r="S629" s="75">
        <v>7.1150000000000002</v>
      </c>
      <c r="T629" s="105">
        <v>9.01</v>
      </c>
      <c r="U629" s="104">
        <v>24.55</v>
      </c>
      <c r="V629" s="75">
        <v>24.54</v>
      </c>
      <c r="W629" s="75">
        <v>24.26</v>
      </c>
      <c r="X629" s="75">
        <v>1.9</v>
      </c>
      <c r="Y629" s="75">
        <v>1.9470000000000001</v>
      </c>
      <c r="Z629" s="105">
        <v>1.81</v>
      </c>
      <c r="AA629" s="104"/>
      <c r="AF629" s="105"/>
    </row>
    <row r="630" spans="2:32" x14ac:dyDescent="0.3">
      <c r="B630" s="111">
        <v>104.16666666666744</v>
      </c>
      <c r="C630" s="104"/>
      <c r="H630" s="105"/>
      <c r="I630" s="104"/>
      <c r="N630" s="105"/>
      <c r="O630" s="104">
        <v>24.24</v>
      </c>
      <c r="P630" s="75">
        <v>24.2</v>
      </c>
      <c r="Q630" s="75">
        <v>24.11</v>
      </c>
      <c r="R630" s="75">
        <v>7.2190000000000003</v>
      </c>
      <c r="S630" s="75">
        <v>7.1989999999999998</v>
      </c>
      <c r="T630" s="105">
        <v>9.07</v>
      </c>
      <c r="U630" s="104">
        <v>24.6</v>
      </c>
      <c r="V630" s="75">
        <v>24.62</v>
      </c>
      <c r="W630" s="75">
        <v>24.33</v>
      </c>
      <c r="X630" s="75">
        <v>1.92</v>
      </c>
      <c r="Y630" s="75">
        <v>1.96</v>
      </c>
      <c r="Z630" s="105">
        <v>1.7949999999999999</v>
      </c>
      <c r="AA630" s="104"/>
      <c r="AF630" s="105"/>
    </row>
    <row r="631" spans="2:32" x14ac:dyDescent="0.3">
      <c r="B631" s="111">
        <v>104.33333333333411</v>
      </c>
      <c r="C631" s="104"/>
      <c r="H631" s="105"/>
      <c r="I631" s="104"/>
      <c r="N631" s="105"/>
      <c r="O631" s="104">
        <v>24.32</v>
      </c>
      <c r="P631" s="75">
        <v>24.27</v>
      </c>
      <c r="Q631" s="75">
        <v>24.2</v>
      </c>
      <c r="R631" s="75">
        <v>7.3120000000000003</v>
      </c>
      <c r="S631" s="75">
        <v>7.5049999999999999</v>
      </c>
      <c r="T631" s="105">
        <v>9.8800000000000008</v>
      </c>
      <c r="U631" s="104">
        <v>24.68</v>
      </c>
      <c r="V631" s="75">
        <v>24.69</v>
      </c>
      <c r="W631" s="75">
        <v>24.42</v>
      </c>
      <c r="X631" s="75">
        <v>1.91</v>
      </c>
      <c r="Y631" s="75">
        <v>1.968</v>
      </c>
      <c r="Z631" s="105">
        <v>1.637</v>
      </c>
      <c r="AA631" s="104"/>
      <c r="AF631" s="105"/>
    </row>
    <row r="632" spans="2:32" x14ac:dyDescent="0.3">
      <c r="B632" s="111">
        <v>104.50000000000078</v>
      </c>
      <c r="C632" s="104"/>
      <c r="H632" s="105"/>
      <c r="I632" s="104"/>
      <c r="N632" s="105"/>
      <c r="O632" s="104">
        <v>24.4</v>
      </c>
      <c r="P632" s="75">
        <v>24.35</v>
      </c>
      <c r="Q632" s="75">
        <v>24.27</v>
      </c>
      <c r="R632" s="75">
        <v>7.3040000000000003</v>
      </c>
      <c r="S632" s="75">
        <v>7.3680000000000003</v>
      </c>
      <c r="T632" s="105">
        <v>9.92</v>
      </c>
      <c r="U632" s="104">
        <v>24.76</v>
      </c>
      <c r="V632" s="75">
        <v>24.77</v>
      </c>
      <c r="W632" s="75">
        <v>24.48</v>
      </c>
      <c r="X632" s="75">
        <v>1.63</v>
      </c>
      <c r="Y632" s="75">
        <v>2.1549999999999998</v>
      </c>
      <c r="Z632" s="105">
        <v>1.764</v>
      </c>
      <c r="AA632" s="104"/>
      <c r="AF632" s="105"/>
    </row>
    <row r="633" spans="2:32" x14ac:dyDescent="0.3">
      <c r="B633" s="111">
        <v>104.66666666666745</v>
      </c>
      <c r="C633" s="104"/>
      <c r="H633" s="105"/>
      <c r="I633" s="104"/>
      <c r="N633" s="105"/>
      <c r="O633" s="104">
        <v>24.46</v>
      </c>
      <c r="P633" s="75">
        <v>24.41</v>
      </c>
      <c r="Q633" s="75">
        <v>24.34</v>
      </c>
      <c r="R633" s="75">
        <v>7.625</v>
      </c>
      <c r="S633" s="75">
        <v>7.4909999999999997</v>
      </c>
      <c r="T633" s="105">
        <v>9.89</v>
      </c>
      <c r="U633" s="104">
        <v>24.83</v>
      </c>
      <c r="V633" s="75">
        <v>24.85</v>
      </c>
      <c r="W633" s="75">
        <v>24.56</v>
      </c>
      <c r="X633" s="75">
        <v>1.91</v>
      </c>
      <c r="Y633" s="75">
        <v>1.9850000000000001</v>
      </c>
      <c r="Z633" s="105">
        <v>2.3820000000000001</v>
      </c>
      <c r="AA633" s="104"/>
      <c r="AF633" s="105"/>
    </row>
    <row r="634" spans="2:32" x14ac:dyDescent="0.3">
      <c r="B634" s="111">
        <v>104.83333333333412</v>
      </c>
      <c r="C634" s="104"/>
      <c r="H634" s="105"/>
      <c r="I634" s="104"/>
      <c r="N634" s="105"/>
      <c r="O634" s="104">
        <v>24.52</v>
      </c>
      <c r="P634" s="75">
        <v>24.49</v>
      </c>
      <c r="Q634" s="75">
        <v>24.4</v>
      </c>
      <c r="R634" s="75">
        <v>7.6909999999999998</v>
      </c>
      <c r="S634" s="75">
        <v>7.8049999999999997</v>
      </c>
      <c r="T634" s="105">
        <v>9.98</v>
      </c>
      <c r="U634" s="104">
        <v>24.91</v>
      </c>
      <c r="V634" s="75">
        <v>24.92</v>
      </c>
      <c r="W634" s="75">
        <v>24.63</v>
      </c>
      <c r="X634" s="75">
        <v>1.91</v>
      </c>
      <c r="Y634" s="75">
        <v>1.994</v>
      </c>
      <c r="Z634" s="105">
        <v>1.734</v>
      </c>
      <c r="AA634" s="104"/>
      <c r="AF634" s="105"/>
    </row>
    <row r="635" spans="2:32" x14ac:dyDescent="0.3">
      <c r="B635" s="111">
        <v>105.0000000000008</v>
      </c>
      <c r="C635" s="104"/>
      <c r="H635" s="105"/>
      <c r="I635" s="104"/>
      <c r="N635" s="105"/>
      <c r="O635" s="104">
        <v>24.58</v>
      </c>
      <c r="P635" s="75">
        <v>24.56</v>
      </c>
      <c r="Q635" s="75">
        <v>24.47</v>
      </c>
      <c r="R635" s="75">
        <v>7.79</v>
      </c>
      <c r="S635" s="75">
        <v>7.8579999999999997</v>
      </c>
      <c r="T635" s="105">
        <v>10.119999999999999</v>
      </c>
      <c r="U635" s="104">
        <v>24.98</v>
      </c>
      <c r="V635" s="75">
        <v>25.01</v>
      </c>
      <c r="W635" s="75">
        <v>24.71</v>
      </c>
      <c r="X635" s="75">
        <v>1.47</v>
      </c>
      <c r="Y635" s="75">
        <v>2.093</v>
      </c>
      <c r="Z635" s="105">
        <v>1.742</v>
      </c>
      <c r="AA635" s="104"/>
      <c r="AF635" s="105"/>
    </row>
    <row r="636" spans="2:32" x14ac:dyDescent="0.3">
      <c r="B636" s="111">
        <v>105.16666666666747</v>
      </c>
      <c r="C636" s="104"/>
      <c r="H636" s="105"/>
      <c r="I636" s="104"/>
      <c r="N636" s="105"/>
      <c r="O636" s="104">
        <v>24.65</v>
      </c>
      <c r="P636" s="75">
        <v>24.63</v>
      </c>
      <c r="Q636" s="75">
        <v>24.53</v>
      </c>
      <c r="R636" s="75">
        <v>8.01</v>
      </c>
      <c r="S636" s="75">
        <v>8.02</v>
      </c>
      <c r="T636" s="105">
        <v>10.199999999999999</v>
      </c>
      <c r="U636" s="104">
        <v>25.05</v>
      </c>
      <c r="V636" s="75">
        <v>25.08</v>
      </c>
      <c r="W636" s="75">
        <v>24.78</v>
      </c>
      <c r="X636" s="75">
        <v>1.9</v>
      </c>
      <c r="Y636" s="75">
        <v>2.0110000000000001</v>
      </c>
      <c r="Z636" s="105">
        <v>1.7030000000000001</v>
      </c>
      <c r="AA636" s="104"/>
      <c r="AF636" s="105"/>
    </row>
    <row r="637" spans="2:32" x14ac:dyDescent="0.3">
      <c r="B637" s="111">
        <v>105.33333333333414</v>
      </c>
      <c r="C637" s="104"/>
      <c r="H637" s="105"/>
      <c r="I637" s="104"/>
      <c r="N637" s="105"/>
      <c r="O637" s="104">
        <v>24.72</v>
      </c>
      <c r="P637" s="75">
        <v>24.7</v>
      </c>
      <c r="Q637" s="75">
        <v>24.6</v>
      </c>
      <c r="R637" s="75">
        <v>8.19</v>
      </c>
      <c r="S637" s="75">
        <v>8.08</v>
      </c>
      <c r="T637" s="105">
        <v>10.210000000000001</v>
      </c>
      <c r="U637" s="104">
        <v>25.12</v>
      </c>
      <c r="V637" s="75">
        <v>25.15</v>
      </c>
      <c r="W637" s="75">
        <v>24.86</v>
      </c>
      <c r="X637" s="75">
        <v>1.9319999999999999</v>
      </c>
      <c r="Y637" s="75">
        <v>2.0190000000000001</v>
      </c>
      <c r="Z637" s="105">
        <v>1.161</v>
      </c>
      <c r="AA637" s="104"/>
      <c r="AF637" s="105"/>
    </row>
    <row r="638" spans="2:32" x14ac:dyDescent="0.3">
      <c r="B638" s="111">
        <v>105.50000000000081</v>
      </c>
      <c r="C638" s="104"/>
      <c r="H638" s="105"/>
      <c r="I638" s="104"/>
      <c r="N638" s="105"/>
      <c r="O638" s="104">
        <v>24.78</v>
      </c>
      <c r="P638" s="75">
        <v>24.77</v>
      </c>
      <c r="Q638" s="75">
        <v>24.68</v>
      </c>
      <c r="R638" s="75">
        <v>8.36</v>
      </c>
      <c r="S638" s="75">
        <v>8.49</v>
      </c>
      <c r="T638" s="105">
        <v>10.130000000000001</v>
      </c>
      <c r="U638" s="104">
        <v>25.19</v>
      </c>
      <c r="V638" s="75">
        <v>25.23</v>
      </c>
      <c r="W638" s="75">
        <v>24.93</v>
      </c>
      <c r="X638" s="75">
        <v>1.7609999999999999</v>
      </c>
      <c r="Y638" s="75">
        <v>1.806</v>
      </c>
      <c r="Z638" s="105">
        <v>1.673</v>
      </c>
      <c r="AA638" s="104"/>
      <c r="AF638" s="105"/>
    </row>
    <row r="639" spans="2:32" x14ac:dyDescent="0.3">
      <c r="B639" s="111">
        <v>105.66666666666748</v>
      </c>
      <c r="C639" s="104"/>
      <c r="H639" s="105"/>
      <c r="I639" s="104"/>
      <c r="N639" s="105"/>
      <c r="O639" s="104">
        <v>24.83</v>
      </c>
      <c r="P639" s="75">
        <v>24.84</v>
      </c>
      <c r="Q639" s="75">
        <v>24.77</v>
      </c>
      <c r="R639" s="75">
        <v>8.31</v>
      </c>
      <c r="S639" s="75">
        <v>8.39</v>
      </c>
      <c r="T639" s="105">
        <v>10.220000000000001</v>
      </c>
      <c r="U639" s="104">
        <v>25.25</v>
      </c>
      <c r="V639" s="75">
        <v>25.31</v>
      </c>
      <c r="W639" s="75">
        <v>25</v>
      </c>
      <c r="X639" s="75">
        <v>1.6779999999999999</v>
      </c>
      <c r="Y639" s="75">
        <v>2.0369999999999999</v>
      </c>
      <c r="Z639" s="105">
        <v>2.194</v>
      </c>
      <c r="AA639" s="104"/>
      <c r="AF639" s="105"/>
    </row>
    <row r="640" spans="2:32" x14ac:dyDescent="0.3">
      <c r="B640" s="111">
        <v>105.83333333333415</v>
      </c>
      <c r="C640" s="104"/>
      <c r="H640" s="105"/>
      <c r="I640" s="104"/>
      <c r="N640" s="105"/>
      <c r="O640" s="104">
        <v>24.88</v>
      </c>
      <c r="P640" s="75">
        <v>24.91</v>
      </c>
      <c r="Q640" s="75">
        <v>24.84</v>
      </c>
      <c r="R640" s="75">
        <v>8.36</v>
      </c>
      <c r="S640" s="75">
        <v>8.69</v>
      </c>
      <c r="T640" s="105">
        <v>10.09</v>
      </c>
      <c r="U640" s="104">
        <v>25.31</v>
      </c>
      <c r="V640" s="75">
        <v>25.38</v>
      </c>
      <c r="W640" s="75">
        <v>25.08</v>
      </c>
      <c r="X640" s="75">
        <v>1.5469999999999999</v>
      </c>
      <c r="Y640" s="75">
        <v>2.0449999999999999</v>
      </c>
      <c r="Z640" s="105">
        <v>1.6419999999999999</v>
      </c>
      <c r="AA640" s="104"/>
      <c r="AF640" s="105"/>
    </row>
    <row r="641" spans="2:32" x14ac:dyDescent="0.3">
      <c r="B641" s="111">
        <v>106.00000000000082</v>
      </c>
      <c r="C641" s="104"/>
      <c r="H641" s="105"/>
      <c r="I641" s="104"/>
      <c r="N641" s="105"/>
      <c r="O641" s="104">
        <v>24.95</v>
      </c>
      <c r="P641" s="75">
        <v>24.98</v>
      </c>
      <c r="Q641" s="75">
        <v>24.91</v>
      </c>
      <c r="R641" s="75">
        <v>8.39</v>
      </c>
      <c r="S641" s="75">
        <v>8.6999999999999993</v>
      </c>
      <c r="T641" s="105">
        <v>10.11</v>
      </c>
      <c r="U641" s="104">
        <v>25.37</v>
      </c>
      <c r="V641" s="75">
        <v>25.46</v>
      </c>
      <c r="W641" s="75">
        <v>25.16</v>
      </c>
      <c r="X641" s="75">
        <v>1.6060000000000001</v>
      </c>
      <c r="Y641" s="75">
        <v>2.4580000000000002</v>
      </c>
      <c r="Z641" s="105">
        <v>1.2829999999999999</v>
      </c>
      <c r="AA641" s="104"/>
      <c r="AF641" s="105"/>
    </row>
    <row r="642" spans="2:32" x14ac:dyDescent="0.3">
      <c r="B642" s="111">
        <v>106.1666666666675</v>
      </c>
      <c r="C642" s="104"/>
      <c r="H642" s="105"/>
      <c r="I642" s="104"/>
      <c r="N642" s="105"/>
      <c r="O642" s="104">
        <v>25.02</v>
      </c>
      <c r="P642" s="75">
        <v>25.05</v>
      </c>
      <c r="Q642" s="75">
        <v>24.97</v>
      </c>
      <c r="R642" s="75">
        <v>8.61</v>
      </c>
      <c r="S642" s="75">
        <v>8.8699999999999992</v>
      </c>
      <c r="T642" s="105">
        <v>10.31</v>
      </c>
      <c r="U642" s="104">
        <v>25.44</v>
      </c>
      <c r="V642" s="75">
        <v>25.52</v>
      </c>
      <c r="W642" s="75">
        <v>25.22</v>
      </c>
      <c r="X642" s="75">
        <v>1.802</v>
      </c>
      <c r="Y642" s="75">
        <v>2.0619999999999998</v>
      </c>
      <c r="Z642" s="105">
        <v>1.6120000000000001</v>
      </c>
      <c r="AA642" s="104"/>
      <c r="AF642" s="105"/>
    </row>
    <row r="643" spans="2:32" x14ac:dyDescent="0.3">
      <c r="B643" s="111">
        <v>106.33333333333417</v>
      </c>
      <c r="C643" s="104"/>
      <c r="H643" s="105"/>
      <c r="I643" s="104"/>
      <c r="N643" s="105"/>
      <c r="O643" s="104">
        <v>25.07</v>
      </c>
      <c r="P643" s="75">
        <v>25.12</v>
      </c>
      <c r="Q643" s="75">
        <v>25.03</v>
      </c>
      <c r="R643" s="75">
        <v>8.99</v>
      </c>
      <c r="S643" s="75">
        <v>9.16</v>
      </c>
      <c r="T643" s="105">
        <v>10.38</v>
      </c>
      <c r="U643" s="104">
        <v>25.49</v>
      </c>
      <c r="V643" s="75">
        <v>25.59</v>
      </c>
      <c r="W643" s="75">
        <v>25.3</v>
      </c>
      <c r="X643" s="75">
        <v>1.86</v>
      </c>
      <c r="Y643" s="75">
        <v>2.0710000000000002</v>
      </c>
      <c r="Z643" s="105">
        <v>1.6639999999999999</v>
      </c>
      <c r="AA643" s="104"/>
      <c r="AF643" s="105"/>
    </row>
    <row r="644" spans="2:32" x14ac:dyDescent="0.3">
      <c r="B644" s="111">
        <v>106.50000000000084</v>
      </c>
      <c r="C644" s="104"/>
      <c r="H644" s="105"/>
      <c r="I644" s="104"/>
      <c r="N644" s="105"/>
      <c r="O644" s="104">
        <v>25.14</v>
      </c>
      <c r="P644" s="75">
        <v>25.2</v>
      </c>
      <c r="Q644" s="75">
        <v>25.1</v>
      </c>
      <c r="R644" s="75">
        <v>9.1</v>
      </c>
      <c r="S644" s="75">
        <v>9.25</v>
      </c>
      <c r="T644" s="105">
        <v>10.54</v>
      </c>
      <c r="U644" s="104">
        <v>25.57</v>
      </c>
      <c r="V644" s="75">
        <v>25.66</v>
      </c>
      <c r="W644" s="75">
        <v>25.37</v>
      </c>
      <c r="X644" s="75">
        <v>1.923</v>
      </c>
      <c r="Y644" s="75">
        <v>2.4140000000000001</v>
      </c>
      <c r="Z644" s="105">
        <v>1.581</v>
      </c>
      <c r="AA644" s="104"/>
      <c r="AF644" s="105"/>
    </row>
    <row r="645" spans="2:32" x14ac:dyDescent="0.3">
      <c r="B645" s="111">
        <v>106.66666666666751</v>
      </c>
      <c r="C645" s="104"/>
      <c r="H645" s="105"/>
      <c r="I645" s="104"/>
      <c r="N645" s="105"/>
      <c r="O645" s="104">
        <v>25.19</v>
      </c>
      <c r="P645" s="75">
        <v>25.26</v>
      </c>
      <c r="Q645" s="75">
        <v>25.16</v>
      </c>
      <c r="R645" s="75">
        <v>9.18</v>
      </c>
      <c r="S645" s="75">
        <v>9.8800000000000008</v>
      </c>
      <c r="T645" s="105">
        <v>10.72</v>
      </c>
      <c r="U645" s="104">
        <v>25.63</v>
      </c>
      <c r="V645" s="75">
        <v>25.75</v>
      </c>
      <c r="W645" s="75">
        <v>25.44</v>
      </c>
      <c r="X645" s="75">
        <v>1.7490000000000001</v>
      </c>
      <c r="Y645" s="75">
        <v>2.0880000000000001</v>
      </c>
      <c r="Z645" s="105">
        <v>1.631</v>
      </c>
      <c r="AA645" s="104"/>
      <c r="AF645" s="105"/>
    </row>
    <row r="646" spans="2:32" x14ac:dyDescent="0.3">
      <c r="B646" s="111">
        <v>106.83333333333418</v>
      </c>
      <c r="C646" s="104"/>
      <c r="H646" s="105"/>
      <c r="I646" s="104"/>
      <c r="N646" s="105"/>
      <c r="O646" s="104">
        <v>25.28</v>
      </c>
      <c r="P646" s="75">
        <v>25.34</v>
      </c>
      <c r="Q646" s="75">
        <v>25.25</v>
      </c>
      <c r="R646" s="75">
        <v>9.24</v>
      </c>
      <c r="S646" s="75">
        <v>10.18</v>
      </c>
      <c r="T646" s="105">
        <v>11.24</v>
      </c>
      <c r="U646" s="104">
        <v>25.71</v>
      </c>
      <c r="V646" s="75">
        <v>25.83</v>
      </c>
      <c r="W646" s="75">
        <v>25.52</v>
      </c>
      <c r="X646" s="75">
        <v>2.3719999999999999</v>
      </c>
      <c r="Y646" s="75">
        <v>2.0960000000000001</v>
      </c>
      <c r="Z646" s="105">
        <v>1.5509999999999999</v>
      </c>
      <c r="AA646" s="104"/>
      <c r="AF646" s="105"/>
    </row>
    <row r="647" spans="2:32" x14ac:dyDescent="0.3">
      <c r="B647" s="111">
        <v>107.00000000000085</v>
      </c>
      <c r="C647" s="104"/>
      <c r="H647" s="105"/>
      <c r="I647" s="104"/>
      <c r="N647" s="105"/>
      <c r="O647" s="104">
        <v>25.35</v>
      </c>
      <c r="P647" s="75">
        <v>25.41</v>
      </c>
      <c r="Q647" s="75">
        <v>25.32</v>
      </c>
      <c r="R647" s="75">
        <v>10.01</v>
      </c>
      <c r="S647" s="75">
        <v>10.29</v>
      </c>
      <c r="T647" s="105">
        <v>11.36</v>
      </c>
      <c r="U647" s="104">
        <v>25.8</v>
      </c>
      <c r="V647" s="75">
        <v>25.91</v>
      </c>
      <c r="W647" s="75">
        <v>25.6</v>
      </c>
      <c r="X647" s="75">
        <v>2.4830000000000001</v>
      </c>
      <c r="Y647" s="75">
        <v>1.919</v>
      </c>
      <c r="Z647" s="105">
        <v>1.581</v>
      </c>
      <c r="AA647" s="104"/>
      <c r="AF647" s="105"/>
    </row>
    <row r="648" spans="2:32" x14ac:dyDescent="0.3">
      <c r="B648" s="111">
        <v>107.16666666666752</v>
      </c>
      <c r="C648" s="104"/>
      <c r="H648" s="105"/>
      <c r="I648" s="104"/>
      <c r="N648" s="105"/>
      <c r="O648" s="104">
        <v>25.41</v>
      </c>
      <c r="P648" s="75">
        <v>25.48</v>
      </c>
      <c r="Q648" s="75">
        <v>25.38</v>
      </c>
      <c r="R648" s="75">
        <v>10.26</v>
      </c>
      <c r="S648" s="75">
        <v>10.48</v>
      </c>
      <c r="T648" s="105">
        <v>11.3</v>
      </c>
      <c r="U648" s="104">
        <v>25.87</v>
      </c>
      <c r="V648" s="75">
        <v>25.98</v>
      </c>
      <c r="W648" s="75">
        <v>25.67</v>
      </c>
      <c r="X648" s="75">
        <v>2.2839999999999998</v>
      </c>
      <c r="Y648" s="75">
        <v>2.1040000000000001</v>
      </c>
      <c r="Z648" s="105">
        <v>1.5209999999999999</v>
      </c>
      <c r="AA648" s="104"/>
      <c r="AF648" s="105"/>
    </row>
    <row r="649" spans="2:32" x14ac:dyDescent="0.3">
      <c r="B649" s="111">
        <v>107.3333333333342</v>
      </c>
      <c r="C649" s="104"/>
      <c r="H649" s="105"/>
      <c r="I649" s="104"/>
      <c r="N649" s="105"/>
      <c r="O649" s="104">
        <v>25.47</v>
      </c>
      <c r="P649" s="75">
        <v>25.55</v>
      </c>
      <c r="Q649" s="75">
        <v>25.45</v>
      </c>
      <c r="R649" s="75">
        <v>10.34</v>
      </c>
      <c r="S649" s="75">
        <v>10.53</v>
      </c>
      <c r="T649" s="105">
        <v>11.28</v>
      </c>
      <c r="U649" s="104">
        <v>25.94</v>
      </c>
      <c r="V649" s="75">
        <v>26.05</v>
      </c>
      <c r="W649" s="75">
        <v>25.74</v>
      </c>
      <c r="X649" s="75">
        <v>2.0950000000000002</v>
      </c>
      <c r="Y649" s="75">
        <v>2.1040000000000001</v>
      </c>
      <c r="Z649" s="105">
        <v>1.464</v>
      </c>
      <c r="AA649" s="104"/>
      <c r="AF649" s="105"/>
    </row>
    <row r="650" spans="2:32" x14ac:dyDescent="0.3">
      <c r="B650" s="111">
        <v>107.50000000000087</v>
      </c>
      <c r="C650" s="104"/>
      <c r="H650" s="105"/>
      <c r="I650" s="104"/>
      <c r="N650" s="105"/>
      <c r="O650" s="104">
        <v>25.54</v>
      </c>
      <c r="P650" s="75">
        <v>25.62</v>
      </c>
      <c r="Q650" s="75">
        <v>25.51</v>
      </c>
      <c r="R650" s="75">
        <v>10.53</v>
      </c>
      <c r="S650" s="75">
        <v>10.76</v>
      </c>
      <c r="T650" s="105">
        <v>11.38</v>
      </c>
      <c r="U650" s="104">
        <v>26.02</v>
      </c>
      <c r="V650" s="75">
        <v>26.13</v>
      </c>
      <c r="W650" s="75">
        <v>25.82</v>
      </c>
      <c r="X650" s="75">
        <v>1.8959999999999999</v>
      </c>
      <c r="Y650" s="75">
        <v>2.0859999999999999</v>
      </c>
      <c r="Z650" s="105">
        <v>1.49</v>
      </c>
      <c r="AA650" s="104"/>
      <c r="AF650" s="105"/>
    </row>
    <row r="651" spans="2:32" x14ac:dyDescent="0.3">
      <c r="B651" s="111">
        <v>107.66666666666754</v>
      </c>
      <c r="C651" s="104"/>
      <c r="H651" s="105"/>
      <c r="I651" s="104"/>
      <c r="N651" s="105"/>
      <c r="O651" s="104">
        <v>25.61</v>
      </c>
      <c r="P651" s="75">
        <v>25.68</v>
      </c>
      <c r="Q651" s="75">
        <v>25.6</v>
      </c>
      <c r="R651" s="75">
        <v>10.53</v>
      </c>
      <c r="S651" s="75">
        <v>11.01</v>
      </c>
      <c r="T651" s="105">
        <v>11.61</v>
      </c>
      <c r="U651" s="104">
        <v>26.1</v>
      </c>
      <c r="V651" s="75">
        <v>26.19</v>
      </c>
      <c r="W651" s="75">
        <v>25.89</v>
      </c>
      <c r="X651" s="75">
        <v>2.0289999999999999</v>
      </c>
      <c r="Y651" s="75">
        <v>2.1019999999999999</v>
      </c>
      <c r="Z651" s="105">
        <v>1.103</v>
      </c>
      <c r="AA651" s="104"/>
      <c r="AF651" s="105"/>
    </row>
    <row r="652" spans="2:32" x14ac:dyDescent="0.3">
      <c r="B652" s="111">
        <v>107.83333333333421</v>
      </c>
      <c r="C652" s="104"/>
      <c r="H652" s="105"/>
      <c r="I652" s="104"/>
      <c r="N652" s="105"/>
      <c r="O652" s="104">
        <v>25.68</v>
      </c>
      <c r="P652" s="75">
        <v>25.74</v>
      </c>
      <c r="Q652" s="75">
        <v>25.67</v>
      </c>
      <c r="R652" s="75">
        <v>10.91</v>
      </c>
      <c r="S652" s="75">
        <v>11.15</v>
      </c>
      <c r="T652" s="105">
        <v>11.45</v>
      </c>
      <c r="U652" s="104">
        <v>26.17</v>
      </c>
      <c r="V652" s="75">
        <v>26.26</v>
      </c>
      <c r="W652" s="75">
        <v>25.97</v>
      </c>
      <c r="X652" s="75">
        <v>2.0880000000000001</v>
      </c>
      <c r="Y652" s="75">
        <v>2.101</v>
      </c>
      <c r="Z652" s="105">
        <v>1.46</v>
      </c>
      <c r="AA652" s="104"/>
      <c r="AF652" s="105"/>
    </row>
    <row r="653" spans="2:32" x14ac:dyDescent="0.3">
      <c r="B653" s="111">
        <v>108.00000000000088</v>
      </c>
      <c r="C653" s="104"/>
      <c r="H653" s="105"/>
      <c r="I653" s="104"/>
      <c r="N653" s="105"/>
      <c r="O653" s="104">
        <v>25.74</v>
      </c>
      <c r="P653" s="75">
        <v>25.8</v>
      </c>
      <c r="Q653" s="75">
        <v>25.74</v>
      </c>
      <c r="R653" s="75">
        <v>11.22</v>
      </c>
      <c r="S653" s="75">
        <v>11.16</v>
      </c>
      <c r="T653" s="105">
        <v>11.74</v>
      </c>
      <c r="U653" s="104">
        <v>26.24</v>
      </c>
      <c r="V653" s="75">
        <v>26.32</v>
      </c>
      <c r="W653" s="75">
        <v>26.04</v>
      </c>
      <c r="X653" s="75">
        <v>1.8440000000000001</v>
      </c>
      <c r="Y653" s="75">
        <v>1.9219999999999999</v>
      </c>
      <c r="Z653" s="105">
        <v>1.397</v>
      </c>
      <c r="AA653" s="104"/>
      <c r="AF653" s="105"/>
    </row>
    <row r="654" spans="2:32" x14ac:dyDescent="0.3">
      <c r="B654" s="111">
        <v>108.16666666666755</v>
      </c>
      <c r="C654" s="104"/>
      <c r="H654" s="105"/>
      <c r="I654" s="104"/>
      <c r="N654" s="105"/>
      <c r="O654" s="104">
        <v>25.79</v>
      </c>
      <c r="P654" s="75">
        <v>25.86</v>
      </c>
      <c r="Q654" s="75">
        <v>25.81</v>
      </c>
      <c r="R654" s="75">
        <v>11.21</v>
      </c>
      <c r="S654" s="75">
        <v>11.41</v>
      </c>
      <c r="T654" s="105">
        <v>12.03</v>
      </c>
      <c r="U654" s="104">
        <v>26.3</v>
      </c>
      <c r="V654" s="75">
        <v>26.39</v>
      </c>
      <c r="W654" s="75">
        <v>26.11</v>
      </c>
      <c r="X654" s="75">
        <v>1.6639999999999999</v>
      </c>
      <c r="Y654" s="75">
        <v>2.1</v>
      </c>
      <c r="Z654" s="105">
        <v>1.429</v>
      </c>
      <c r="AA654" s="104"/>
      <c r="AF654" s="105"/>
    </row>
    <row r="655" spans="2:32" x14ac:dyDescent="0.3">
      <c r="B655" s="111">
        <v>108.33333333333422</v>
      </c>
      <c r="C655" s="104"/>
      <c r="H655" s="105"/>
      <c r="I655" s="104"/>
      <c r="N655" s="105"/>
      <c r="O655" s="104">
        <v>25.86</v>
      </c>
      <c r="P655" s="75">
        <v>25.93</v>
      </c>
      <c r="Q655" s="75">
        <v>25.87</v>
      </c>
      <c r="R655" s="75">
        <v>11.19</v>
      </c>
      <c r="S655" s="75">
        <v>11.63</v>
      </c>
      <c r="T655" s="105">
        <v>11.18</v>
      </c>
      <c r="U655" s="104">
        <v>26.37</v>
      </c>
      <c r="V655" s="75">
        <v>26.46</v>
      </c>
      <c r="W655" s="75">
        <v>26.2</v>
      </c>
      <c r="X655" s="75">
        <v>1.8420000000000001</v>
      </c>
      <c r="Y655" s="75">
        <v>2.0990000000000002</v>
      </c>
      <c r="Z655" s="105">
        <v>1.4610000000000001</v>
      </c>
      <c r="AA655" s="104"/>
      <c r="AF655" s="105"/>
    </row>
    <row r="656" spans="2:32" x14ac:dyDescent="0.3">
      <c r="B656" s="111">
        <v>108.5000000000009</v>
      </c>
      <c r="C656" s="104"/>
      <c r="H656" s="105"/>
      <c r="I656" s="104"/>
      <c r="N656" s="105"/>
      <c r="O656" s="104">
        <v>25.93</v>
      </c>
      <c r="P656" s="75">
        <v>26.01</v>
      </c>
      <c r="Q656" s="75">
        <v>25.93</v>
      </c>
      <c r="R656" s="75">
        <v>11.51</v>
      </c>
      <c r="S656" s="75">
        <v>11.8</v>
      </c>
      <c r="T656" s="105">
        <v>10.73</v>
      </c>
      <c r="U656" s="104">
        <v>26.45</v>
      </c>
      <c r="V656" s="75">
        <v>26.54</v>
      </c>
      <c r="W656" s="75">
        <v>26.26</v>
      </c>
      <c r="X656" s="75">
        <v>1.984</v>
      </c>
      <c r="Y656" s="75">
        <v>2.0710000000000002</v>
      </c>
      <c r="Z656" s="105">
        <v>1.399</v>
      </c>
      <c r="AA656" s="104"/>
      <c r="AF656" s="105"/>
    </row>
    <row r="657" spans="2:32" x14ac:dyDescent="0.3">
      <c r="B657" s="111">
        <v>108.66666666666757</v>
      </c>
      <c r="C657" s="104"/>
      <c r="H657" s="105"/>
      <c r="I657" s="104"/>
      <c r="N657" s="105"/>
      <c r="O657" s="104">
        <v>26</v>
      </c>
      <c r="P657" s="75">
        <v>26.06</v>
      </c>
      <c r="Q657" s="75">
        <v>26.03</v>
      </c>
      <c r="R657" s="75">
        <v>11.84</v>
      </c>
      <c r="S657" s="75">
        <v>11.53</v>
      </c>
      <c r="T657" s="105">
        <v>9.6300000000000008</v>
      </c>
      <c r="U657" s="104">
        <v>26.52</v>
      </c>
      <c r="V657" s="75">
        <v>26.6</v>
      </c>
      <c r="W657" s="75">
        <v>26.33</v>
      </c>
      <c r="X657" s="75">
        <v>2.0649999999999999</v>
      </c>
      <c r="Y657" s="75">
        <v>2.0979999999999999</v>
      </c>
      <c r="Z657" s="105">
        <v>1.1919999999999999</v>
      </c>
      <c r="AA657" s="104"/>
      <c r="AF657" s="105"/>
    </row>
    <row r="658" spans="2:32" x14ac:dyDescent="0.3">
      <c r="B658" s="111">
        <v>108.83333333333424</v>
      </c>
      <c r="C658" s="104"/>
      <c r="H658" s="105"/>
      <c r="I658" s="104"/>
      <c r="N658" s="105"/>
      <c r="O658" s="104">
        <v>26.07</v>
      </c>
      <c r="P658" s="75">
        <v>26.14</v>
      </c>
      <c r="Q658" s="75">
        <v>26.13</v>
      </c>
      <c r="R658" s="75">
        <v>11.83</v>
      </c>
      <c r="S658" s="75">
        <v>11.47</v>
      </c>
      <c r="T658" s="105">
        <v>9.5</v>
      </c>
      <c r="U658" s="104">
        <v>26.58</v>
      </c>
      <c r="V658" s="75">
        <v>26.67</v>
      </c>
      <c r="W658" s="75">
        <v>26.41</v>
      </c>
      <c r="X658" s="75">
        <v>1.798</v>
      </c>
      <c r="Y658" s="75">
        <v>2.097</v>
      </c>
      <c r="Z658" s="105">
        <v>1.3680000000000001</v>
      </c>
      <c r="AA658" s="104"/>
      <c r="AF658" s="105"/>
    </row>
    <row r="659" spans="2:32" x14ac:dyDescent="0.3">
      <c r="B659" s="111">
        <v>109.00000000000091</v>
      </c>
      <c r="C659" s="104"/>
      <c r="H659" s="105"/>
      <c r="I659" s="104"/>
      <c r="N659" s="105"/>
      <c r="O659" s="104">
        <v>26.13</v>
      </c>
      <c r="P659" s="75">
        <v>26.23</v>
      </c>
      <c r="Q659" s="75">
        <v>26.26</v>
      </c>
      <c r="R659" s="75">
        <v>11.64</v>
      </c>
      <c r="S659" s="75">
        <v>11.58</v>
      </c>
      <c r="T659" s="105">
        <v>8.6</v>
      </c>
      <c r="U659" s="104">
        <v>26.64</v>
      </c>
      <c r="V659" s="75">
        <v>26.73</v>
      </c>
      <c r="W659" s="75">
        <v>26.48</v>
      </c>
      <c r="X659" s="75">
        <v>1.4990000000000001</v>
      </c>
      <c r="Y659" s="75">
        <v>2.3439999999999999</v>
      </c>
      <c r="Z659" s="105">
        <v>1.4379999999999999</v>
      </c>
      <c r="AA659" s="104"/>
      <c r="AF659" s="105"/>
    </row>
    <row r="660" spans="2:32" x14ac:dyDescent="0.3">
      <c r="B660" s="111">
        <v>109.16666666666758</v>
      </c>
      <c r="C660" s="104"/>
      <c r="H660" s="105"/>
      <c r="I660" s="104"/>
      <c r="N660" s="105"/>
      <c r="O660" s="104">
        <v>26.22</v>
      </c>
      <c r="P660" s="75">
        <v>26.36</v>
      </c>
      <c r="Q660" s="75">
        <v>26.42</v>
      </c>
      <c r="R660" s="75">
        <v>11.56</v>
      </c>
      <c r="S660" s="75">
        <v>11.07</v>
      </c>
      <c r="T660" s="105">
        <v>8.7200000000000006</v>
      </c>
      <c r="U660" s="104">
        <v>26.71</v>
      </c>
      <c r="V660" s="75">
        <v>26.82</v>
      </c>
      <c r="W660" s="75">
        <v>26.56</v>
      </c>
      <c r="X660" s="75">
        <v>1.8280000000000001</v>
      </c>
      <c r="Y660" s="75">
        <v>2.0960000000000001</v>
      </c>
      <c r="Z660" s="105">
        <v>1.3380000000000001</v>
      </c>
      <c r="AA660" s="104"/>
      <c r="AF660" s="105"/>
    </row>
    <row r="661" spans="2:32" x14ac:dyDescent="0.3">
      <c r="B661" s="111">
        <v>109.33333333333425</v>
      </c>
      <c r="C661" s="104"/>
      <c r="H661" s="105"/>
      <c r="I661" s="104"/>
      <c r="N661" s="105"/>
      <c r="O661" s="104">
        <v>26.35</v>
      </c>
      <c r="P661" s="75">
        <v>26.49</v>
      </c>
      <c r="Q661" s="75">
        <v>26.62</v>
      </c>
      <c r="R661" s="75">
        <v>11.61</v>
      </c>
      <c r="S661" s="75">
        <v>9.9600000000000009</v>
      </c>
      <c r="T661" s="105">
        <v>7.7869999999999999</v>
      </c>
      <c r="U661" s="104">
        <v>26.8</v>
      </c>
      <c r="V661" s="75">
        <v>26.9</v>
      </c>
      <c r="W661" s="75">
        <v>26.63</v>
      </c>
      <c r="X661" s="75">
        <v>2.3620000000000001</v>
      </c>
      <c r="Y661" s="75">
        <v>2.0950000000000002</v>
      </c>
      <c r="Z661" s="105">
        <v>1.343</v>
      </c>
      <c r="AA661" s="104"/>
      <c r="AF661" s="105"/>
    </row>
    <row r="662" spans="2:32" x14ac:dyDescent="0.3">
      <c r="B662" s="111">
        <v>109.50000000000092</v>
      </c>
      <c r="C662" s="104"/>
      <c r="H662" s="105"/>
      <c r="I662" s="104"/>
      <c r="N662" s="105"/>
      <c r="O662" s="104">
        <v>26.49</v>
      </c>
      <c r="P662" s="75">
        <v>26.62</v>
      </c>
      <c r="Q662" s="75">
        <v>26.78</v>
      </c>
      <c r="R662" s="75">
        <v>10.43</v>
      </c>
      <c r="S662" s="75">
        <v>8.01</v>
      </c>
      <c r="T662" s="105">
        <v>6.3280000000000003</v>
      </c>
      <c r="U662" s="104">
        <v>26.88</v>
      </c>
      <c r="V662" s="75">
        <v>26.96</v>
      </c>
      <c r="W662" s="75">
        <v>26.71</v>
      </c>
      <c r="X662" s="75">
        <v>2.2029999999999998</v>
      </c>
      <c r="Y662" s="75">
        <v>2.3639999999999999</v>
      </c>
      <c r="Z662" s="105">
        <v>1.3069999999999999</v>
      </c>
      <c r="AA662" s="104"/>
      <c r="AF662" s="105"/>
    </row>
    <row r="663" spans="2:32" x14ac:dyDescent="0.3">
      <c r="B663" s="111">
        <v>109.6666666666676</v>
      </c>
      <c r="C663" s="104"/>
      <c r="H663" s="105"/>
      <c r="I663" s="104"/>
      <c r="N663" s="105"/>
      <c r="O663" s="104">
        <v>26.62</v>
      </c>
      <c r="P663" s="75">
        <v>26.75</v>
      </c>
      <c r="Q663" s="75">
        <v>26.92</v>
      </c>
      <c r="R663" s="75">
        <v>9.16</v>
      </c>
      <c r="S663" s="75">
        <v>7.2489999999999997</v>
      </c>
      <c r="T663" s="105">
        <v>5.6909999999999998</v>
      </c>
      <c r="U663" s="104">
        <v>26.95</v>
      </c>
      <c r="V663" s="75">
        <v>27.03</v>
      </c>
      <c r="W663" s="75">
        <v>26.78</v>
      </c>
      <c r="X663" s="75">
        <v>2.0680000000000001</v>
      </c>
      <c r="Y663" s="75">
        <v>2.0939999999999999</v>
      </c>
      <c r="Z663" s="105">
        <v>1.3919999999999999</v>
      </c>
      <c r="AA663" s="104"/>
      <c r="AF663" s="105"/>
    </row>
    <row r="664" spans="2:32" x14ac:dyDescent="0.3">
      <c r="B664" s="111">
        <v>109.83333333333427</v>
      </c>
      <c r="C664" s="104"/>
      <c r="H664" s="105"/>
      <c r="I664" s="104"/>
      <c r="N664" s="105"/>
      <c r="O664" s="104">
        <v>26.74</v>
      </c>
      <c r="P664" s="75">
        <v>26.87</v>
      </c>
      <c r="Q664" s="75">
        <v>27.05</v>
      </c>
      <c r="R664" s="75">
        <v>7.6310000000000002</v>
      </c>
      <c r="S664" s="75">
        <v>5.9160000000000004</v>
      </c>
      <c r="T664" s="105">
        <v>4.8129999999999997</v>
      </c>
      <c r="U664" s="104">
        <v>27.02</v>
      </c>
      <c r="V664" s="75">
        <v>27.1</v>
      </c>
      <c r="W664" s="75">
        <v>26.86</v>
      </c>
      <c r="X664" s="75">
        <v>1.8839999999999999</v>
      </c>
      <c r="Y664" s="75">
        <v>2.093</v>
      </c>
      <c r="Z664" s="105">
        <v>1.2769999999999999</v>
      </c>
      <c r="AA664" s="104"/>
      <c r="AF664" s="105"/>
    </row>
    <row r="665" spans="2:32" x14ac:dyDescent="0.3">
      <c r="B665" s="111">
        <v>110.00000000000094</v>
      </c>
      <c r="C665" s="104"/>
      <c r="H665" s="105"/>
      <c r="I665" s="104"/>
      <c r="N665" s="105"/>
      <c r="O665" s="104">
        <v>26.85</v>
      </c>
      <c r="P665" s="75">
        <v>26.98</v>
      </c>
      <c r="Q665" s="75">
        <v>27.14</v>
      </c>
      <c r="R665" s="75">
        <v>6.2270000000000003</v>
      </c>
      <c r="S665" s="75">
        <v>5.1340000000000003</v>
      </c>
      <c r="T665" s="105">
        <v>3.3730000000000002</v>
      </c>
      <c r="U665" s="104">
        <v>27.09</v>
      </c>
      <c r="V665" s="75">
        <v>27.17</v>
      </c>
      <c r="W665" s="75">
        <v>26.94</v>
      </c>
      <c r="X665" s="75">
        <v>1.7609999999999999</v>
      </c>
      <c r="Y665" s="75">
        <v>1.962</v>
      </c>
      <c r="Z665" s="105">
        <v>0.76900000000000002</v>
      </c>
      <c r="AA665" s="104"/>
      <c r="AF665" s="105"/>
    </row>
    <row r="666" spans="2:32" x14ac:dyDescent="0.3">
      <c r="B666" s="111">
        <v>110.16666666666761</v>
      </c>
      <c r="C666" s="104"/>
      <c r="H666" s="105"/>
      <c r="I666" s="104"/>
      <c r="N666" s="105"/>
      <c r="O666" s="104">
        <v>26.97</v>
      </c>
      <c r="P666" s="75">
        <v>27.09</v>
      </c>
      <c r="Q666" s="75">
        <v>27.2</v>
      </c>
      <c r="R666" s="75">
        <v>5.59</v>
      </c>
      <c r="S666" s="75">
        <v>4.4989999999999997</v>
      </c>
      <c r="T666" s="105">
        <v>2.6890000000000001</v>
      </c>
      <c r="U666" s="104">
        <v>27.16</v>
      </c>
      <c r="V666" s="75">
        <v>27.23</v>
      </c>
      <c r="W666" s="75">
        <v>27</v>
      </c>
      <c r="X666" s="75">
        <v>1.9790000000000001</v>
      </c>
      <c r="Y666" s="75">
        <v>2.0910000000000002</v>
      </c>
      <c r="Z666" s="105">
        <v>1.246</v>
      </c>
      <c r="AA666" s="104"/>
      <c r="AF666" s="105"/>
    </row>
    <row r="667" spans="2:32" x14ac:dyDescent="0.3">
      <c r="B667" s="111">
        <v>110.33333333333428</v>
      </c>
      <c r="C667" s="104"/>
      <c r="H667" s="105"/>
      <c r="I667" s="104"/>
      <c r="N667" s="105"/>
      <c r="O667" s="104">
        <v>27.08</v>
      </c>
      <c r="P667" s="75">
        <v>27.19</v>
      </c>
      <c r="Q667" s="75">
        <v>27.28</v>
      </c>
      <c r="R667" s="75">
        <v>4.7549999999999999</v>
      </c>
      <c r="S667" s="75">
        <v>3.81</v>
      </c>
      <c r="T667" s="105">
        <v>2.145</v>
      </c>
      <c r="U667" s="104">
        <v>27.23</v>
      </c>
      <c r="V667" s="75">
        <v>27.31</v>
      </c>
      <c r="W667" s="75">
        <v>27.09</v>
      </c>
      <c r="X667" s="75">
        <v>1.9510000000000001</v>
      </c>
      <c r="Y667" s="75">
        <v>2.0910000000000002</v>
      </c>
      <c r="Z667" s="105">
        <v>0.86699999999999999</v>
      </c>
      <c r="AA667" s="104"/>
      <c r="AF667" s="105"/>
    </row>
    <row r="668" spans="2:32" x14ac:dyDescent="0.3">
      <c r="B668" s="111">
        <v>110.50000000000095</v>
      </c>
      <c r="C668" s="104"/>
      <c r="H668" s="105"/>
      <c r="I668" s="104"/>
      <c r="N668" s="105"/>
      <c r="O668" s="104">
        <v>27.18</v>
      </c>
      <c r="P668" s="75">
        <v>27.28</v>
      </c>
      <c r="Q668" s="75">
        <v>27.36</v>
      </c>
      <c r="R668" s="75">
        <v>3.9609999999999999</v>
      </c>
      <c r="S668" s="75">
        <v>3.2170000000000001</v>
      </c>
      <c r="T668" s="105">
        <v>2.1560000000000001</v>
      </c>
      <c r="U668" s="104">
        <v>27.3</v>
      </c>
      <c r="V668" s="75">
        <v>27.37</v>
      </c>
      <c r="W668" s="75">
        <v>27.15</v>
      </c>
      <c r="X668" s="75">
        <v>1.8280000000000001</v>
      </c>
      <c r="Y668" s="75">
        <v>2.1589999999999998</v>
      </c>
      <c r="Z668" s="105">
        <v>1.216</v>
      </c>
      <c r="AA668" s="104"/>
      <c r="AF668" s="105"/>
    </row>
    <row r="669" spans="2:32" x14ac:dyDescent="0.3">
      <c r="B669" s="111">
        <v>110.66666666666762</v>
      </c>
      <c r="C669" s="104"/>
      <c r="H669" s="105"/>
      <c r="I669" s="104"/>
      <c r="N669" s="105"/>
      <c r="O669" s="104">
        <v>27.27</v>
      </c>
      <c r="P669" s="75">
        <v>27.38</v>
      </c>
      <c r="Q669" s="75">
        <v>27.42</v>
      </c>
      <c r="R669" s="75">
        <v>3.33</v>
      </c>
      <c r="S669" s="75">
        <v>3.01</v>
      </c>
      <c r="T669" s="105">
        <v>1.7010000000000001</v>
      </c>
      <c r="U669" s="104">
        <v>27.37</v>
      </c>
      <c r="V669" s="75">
        <v>27.45</v>
      </c>
      <c r="W669" s="75">
        <v>27.23</v>
      </c>
      <c r="X669" s="75">
        <v>1.744</v>
      </c>
      <c r="Y669" s="75">
        <v>2.089</v>
      </c>
      <c r="Z669" s="105">
        <v>1.1579999999999999</v>
      </c>
      <c r="AA669" s="104"/>
      <c r="AF669" s="105"/>
    </row>
    <row r="670" spans="2:32" x14ac:dyDescent="0.3">
      <c r="B670" s="111">
        <v>110.83333333333429</v>
      </c>
      <c r="C670" s="104"/>
      <c r="H670" s="105"/>
      <c r="I670" s="104"/>
      <c r="N670" s="105"/>
      <c r="O670" s="104">
        <v>27.36</v>
      </c>
      <c r="P670" s="75">
        <v>27.46</v>
      </c>
      <c r="Q670" s="75">
        <v>27.51</v>
      </c>
      <c r="R670" s="75">
        <v>3.0049999999999999</v>
      </c>
      <c r="S670" s="75">
        <v>2.4929999999999999</v>
      </c>
      <c r="T670" s="105">
        <v>1.6759999999999999</v>
      </c>
      <c r="U670" s="104">
        <v>27.43</v>
      </c>
      <c r="V670" s="75">
        <v>27.51</v>
      </c>
      <c r="W670" s="75">
        <v>27.3</v>
      </c>
      <c r="X670" s="75">
        <v>1.7589999999999999</v>
      </c>
      <c r="Y670" s="75">
        <v>2.089</v>
      </c>
      <c r="Z670" s="105">
        <v>1.1850000000000001</v>
      </c>
      <c r="AA670" s="104"/>
      <c r="AF670" s="105"/>
    </row>
    <row r="671" spans="2:32" x14ac:dyDescent="0.3">
      <c r="B671" s="111">
        <v>111.00000000000097</v>
      </c>
      <c r="C671" s="104"/>
      <c r="H671" s="105"/>
      <c r="I671" s="104"/>
      <c r="N671" s="105"/>
      <c r="O671" s="104">
        <v>27.45</v>
      </c>
      <c r="P671" s="75">
        <v>27.55</v>
      </c>
      <c r="Q671" s="75">
        <v>27.6</v>
      </c>
      <c r="R671" s="75">
        <v>2.7570000000000001</v>
      </c>
      <c r="S671" s="75">
        <v>2.0169999999999999</v>
      </c>
      <c r="T671" s="105">
        <v>1.371</v>
      </c>
      <c r="U671" s="104">
        <v>27.5</v>
      </c>
      <c r="V671" s="75">
        <v>27.57</v>
      </c>
      <c r="W671" s="75">
        <v>27.38</v>
      </c>
      <c r="X671" s="75">
        <v>1.903</v>
      </c>
      <c r="Y671" s="75">
        <v>2.2130000000000001</v>
      </c>
      <c r="Z671" s="105">
        <v>1.2410000000000001</v>
      </c>
      <c r="AA671" s="104"/>
      <c r="AF671" s="105"/>
    </row>
    <row r="672" spans="2:32" x14ac:dyDescent="0.3">
      <c r="B672" s="111">
        <v>111.16666666666764</v>
      </c>
      <c r="C672" s="104"/>
      <c r="H672" s="105"/>
      <c r="I672" s="104"/>
      <c r="N672" s="105"/>
      <c r="O672" s="104">
        <v>27.54</v>
      </c>
      <c r="P672" s="75">
        <v>27.63</v>
      </c>
      <c r="Q672" s="75">
        <v>27.67</v>
      </c>
      <c r="R672" s="75">
        <v>2.3079999999999998</v>
      </c>
      <c r="S672" s="75">
        <v>1.823</v>
      </c>
      <c r="T672" s="105">
        <v>0.68100000000000005</v>
      </c>
      <c r="U672" s="104">
        <v>27.57</v>
      </c>
      <c r="V672" s="75">
        <v>27.64</v>
      </c>
      <c r="W672" s="75">
        <v>27.45</v>
      </c>
      <c r="X672" s="75">
        <v>1.91</v>
      </c>
      <c r="Y672" s="75">
        <v>2.0870000000000002</v>
      </c>
      <c r="Z672" s="105">
        <v>1.155</v>
      </c>
      <c r="AA672" s="104"/>
      <c r="AF672" s="105"/>
    </row>
    <row r="673" spans="2:32" x14ac:dyDescent="0.3">
      <c r="B673" s="111">
        <v>111.33333333333431</v>
      </c>
      <c r="C673" s="104"/>
      <c r="H673" s="105"/>
      <c r="I673" s="104"/>
      <c r="N673" s="105"/>
      <c r="O673" s="104">
        <v>27.63</v>
      </c>
      <c r="P673" s="75">
        <v>27.7</v>
      </c>
      <c r="Q673" s="75">
        <v>27.74</v>
      </c>
      <c r="R673" s="75">
        <v>1.839</v>
      </c>
      <c r="S673" s="75">
        <v>1.4359999999999999</v>
      </c>
      <c r="T673" s="105">
        <v>0.69199999999999995</v>
      </c>
      <c r="U673" s="104">
        <v>27.65</v>
      </c>
      <c r="V673" s="75">
        <v>27.71</v>
      </c>
      <c r="W673" s="75">
        <v>27.53</v>
      </c>
      <c r="X673" s="75">
        <v>1.92</v>
      </c>
      <c r="Y673" s="75">
        <v>2.0859999999999999</v>
      </c>
      <c r="Z673" s="105">
        <v>0.747</v>
      </c>
      <c r="AA673" s="104"/>
      <c r="AF673" s="105"/>
    </row>
    <row r="674" spans="2:32" x14ac:dyDescent="0.3">
      <c r="B674" s="111">
        <v>111.50000000000098</v>
      </c>
      <c r="C674" s="104"/>
      <c r="H674" s="105"/>
      <c r="I674" s="104"/>
      <c r="N674" s="105"/>
      <c r="O674" s="104">
        <v>27.72</v>
      </c>
      <c r="P674" s="75">
        <v>27.78</v>
      </c>
      <c r="Q674" s="75">
        <v>27.82</v>
      </c>
      <c r="R674" s="75">
        <v>1.4490000000000001</v>
      </c>
      <c r="S674" s="75">
        <v>1.254</v>
      </c>
      <c r="T674" s="105">
        <v>0.77800000000000002</v>
      </c>
      <c r="U674" s="104">
        <v>27.69</v>
      </c>
      <c r="V674" s="75">
        <v>27.78</v>
      </c>
      <c r="W674" s="75">
        <v>27.6</v>
      </c>
      <c r="X674" s="75">
        <v>2.0699999999999998</v>
      </c>
      <c r="Y674" s="75">
        <v>2.0390000000000001</v>
      </c>
      <c r="Z674" s="105">
        <v>1.1240000000000001</v>
      </c>
      <c r="AA674" s="104"/>
      <c r="AF674" s="105"/>
    </row>
    <row r="675" spans="2:32" x14ac:dyDescent="0.3">
      <c r="B675" s="111">
        <v>111.66666666666765</v>
      </c>
      <c r="C675" s="104"/>
      <c r="H675" s="105"/>
      <c r="I675" s="104"/>
      <c r="N675" s="105"/>
      <c r="O675" s="104">
        <v>27.81</v>
      </c>
      <c r="P675" s="75">
        <v>27.85</v>
      </c>
      <c r="Q675" s="75">
        <v>27.9</v>
      </c>
      <c r="R675" s="75">
        <v>1.411</v>
      </c>
      <c r="S675" s="75">
        <v>1.2589999999999999</v>
      </c>
      <c r="T675" s="105">
        <v>0.71399999999999997</v>
      </c>
      <c r="U675" s="104">
        <v>27.79</v>
      </c>
      <c r="V675" s="75">
        <v>27.85</v>
      </c>
      <c r="W675" s="75">
        <v>27.67</v>
      </c>
      <c r="X675" s="75">
        <v>1.94</v>
      </c>
      <c r="Y675" s="75">
        <v>2.085</v>
      </c>
      <c r="Z675" s="105">
        <v>1.1140000000000001</v>
      </c>
      <c r="AA675" s="104"/>
      <c r="AF675" s="105"/>
    </row>
    <row r="676" spans="2:32" x14ac:dyDescent="0.3">
      <c r="B676" s="111">
        <v>111.83333333333432</v>
      </c>
      <c r="C676" s="104"/>
      <c r="H676" s="105"/>
      <c r="I676" s="104"/>
      <c r="N676" s="105"/>
      <c r="O676" s="104">
        <v>27.88</v>
      </c>
      <c r="P676" s="75">
        <v>27.93</v>
      </c>
      <c r="Q676" s="75">
        <v>27.96</v>
      </c>
      <c r="R676" s="75">
        <v>1.41</v>
      </c>
      <c r="S676" s="75">
        <v>1.24</v>
      </c>
      <c r="T676" s="105">
        <v>0.48199999999999998</v>
      </c>
      <c r="U676" s="104">
        <v>27.87</v>
      </c>
      <c r="V676" s="75">
        <v>27.93</v>
      </c>
      <c r="W676" s="75">
        <v>27.75</v>
      </c>
      <c r="X676" s="75">
        <v>1.95</v>
      </c>
      <c r="Y676" s="75">
        <v>2.0840000000000001</v>
      </c>
      <c r="Z676" s="105">
        <v>1.0940000000000001</v>
      </c>
      <c r="AA676" s="104"/>
      <c r="AF676" s="105"/>
    </row>
    <row r="677" spans="2:32" x14ac:dyDescent="0.3">
      <c r="B677" s="111">
        <v>112.00000000000099</v>
      </c>
      <c r="C677" s="104"/>
      <c r="H677" s="105"/>
      <c r="I677" s="104"/>
      <c r="N677" s="105"/>
      <c r="O677" s="104">
        <v>27.96</v>
      </c>
      <c r="P677" s="75">
        <v>28</v>
      </c>
      <c r="Q677" s="75">
        <v>28.03</v>
      </c>
      <c r="R677" s="75">
        <v>1.4</v>
      </c>
      <c r="S677" s="75">
        <v>1.22</v>
      </c>
      <c r="T677" s="105">
        <v>0.73599999999999999</v>
      </c>
      <c r="U677" s="104">
        <v>27.96</v>
      </c>
      <c r="V677" s="75">
        <v>27.99</v>
      </c>
      <c r="W677" s="75">
        <v>27.82</v>
      </c>
      <c r="X677" s="75">
        <v>2.31</v>
      </c>
      <c r="Y677" s="75">
        <v>2.677</v>
      </c>
      <c r="Z677" s="105">
        <v>0.91300000000000003</v>
      </c>
      <c r="AA677" s="104"/>
      <c r="AF677" s="105"/>
    </row>
    <row r="678" spans="2:32" x14ac:dyDescent="0.3">
      <c r="B678" s="111">
        <v>112.16666666666767</v>
      </c>
      <c r="C678" s="104"/>
      <c r="H678" s="105"/>
      <c r="I678" s="104"/>
      <c r="N678" s="105"/>
      <c r="O678" s="104">
        <v>28.04</v>
      </c>
      <c r="P678" s="75">
        <v>28.08</v>
      </c>
      <c r="Q678" s="75">
        <v>28.1</v>
      </c>
      <c r="R678" s="75">
        <v>1.1399999999999999</v>
      </c>
      <c r="S678" s="75">
        <v>1.1990000000000001</v>
      </c>
      <c r="T678" s="105">
        <v>0.55300000000000005</v>
      </c>
      <c r="U678" s="104">
        <v>28.01</v>
      </c>
      <c r="V678" s="75">
        <v>28.07</v>
      </c>
      <c r="W678" s="75">
        <v>27.89</v>
      </c>
      <c r="X678" s="75">
        <v>1.97</v>
      </c>
      <c r="Y678" s="75">
        <v>2.0830000000000002</v>
      </c>
      <c r="Z678" s="105">
        <v>1.0629999999999999</v>
      </c>
      <c r="AA678" s="104"/>
      <c r="AF678" s="105"/>
    </row>
    <row r="679" spans="2:32" x14ac:dyDescent="0.3">
      <c r="B679" s="111">
        <v>112.33333333333434</v>
      </c>
      <c r="C679" s="104"/>
      <c r="H679" s="105"/>
      <c r="I679" s="104"/>
      <c r="N679" s="105"/>
      <c r="O679" s="104">
        <v>28.11</v>
      </c>
      <c r="P679" s="75">
        <v>28.15</v>
      </c>
      <c r="Q679" s="75">
        <v>28.18</v>
      </c>
      <c r="R679" s="75">
        <v>1.39</v>
      </c>
      <c r="S679" s="75">
        <v>1.181</v>
      </c>
      <c r="T679" s="105">
        <v>0.75900000000000001</v>
      </c>
      <c r="U679" s="104">
        <v>28.09</v>
      </c>
      <c r="V679" s="75">
        <v>28.14</v>
      </c>
      <c r="W679" s="75">
        <v>27.97</v>
      </c>
      <c r="X679" s="75">
        <v>1.98</v>
      </c>
      <c r="Y679" s="75">
        <v>2.0819999999999999</v>
      </c>
      <c r="Z679" s="105">
        <v>0.84099999999999997</v>
      </c>
      <c r="AA679" s="104"/>
      <c r="AF679" s="105"/>
    </row>
    <row r="680" spans="2:32" x14ac:dyDescent="0.3">
      <c r="B680" s="111">
        <v>112.50000000000101</v>
      </c>
      <c r="C680" s="104"/>
      <c r="H680" s="105"/>
      <c r="I680" s="104"/>
      <c r="N680" s="105"/>
      <c r="O680" s="104">
        <v>28.18</v>
      </c>
      <c r="P680" s="75">
        <v>28.23</v>
      </c>
      <c r="Q680" s="75">
        <v>28.25</v>
      </c>
      <c r="R680" s="75">
        <v>1.39</v>
      </c>
      <c r="S680" s="75">
        <v>1.1619999999999999</v>
      </c>
      <c r="T680" s="105">
        <v>0.95099999999999996</v>
      </c>
      <c r="U680" s="104">
        <v>28.19</v>
      </c>
      <c r="V680" s="75">
        <v>28.21</v>
      </c>
      <c r="W680" s="75">
        <v>28.04</v>
      </c>
      <c r="X680" s="75">
        <v>2.65</v>
      </c>
      <c r="Y680" s="75">
        <v>1.742</v>
      </c>
      <c r="Z680" s="105">
        <v>1.0329999999999999</v>
      </c>
      <c r="AA680" s="104"/>
      <c r="AF680" s="105"/>
    </row>
    <row r="681" spans="2:32" x14ac:dyDescent="0.3">
      <c r="B681" s="111">
        <v>112.66666666666768</v>
      </c>
      <c r="C681" s="104"/>
      <c r="H681" s="105"/>
      <c r="I681" s="104"/>
      <c r="N681" s="105"/>
      <c r="O681" s="104">
        <v>28.26</v>
      </c>
      <c r="P681" s="75">
        <v>28.3</v>
      </c>
      <c r="Q681" s="75">
        <v>28.32</v>
      </c>
      <c r="R681" s="75">
        <v>0.8</v>
      </c>
      <c r="S681" s="75">
        <v>1.399</v>
      </c>
      <c r="T681" s="105">
        <v>0.78100000000000003</v>
      </c>
      <c r="U681" s="104">
        <v>28.23</v>
      </c>
      <c r="V681" s="75">
        <v>28.28</v>
      </c>
      <c r="W681" s="75">
        <v>28.11</v>
      </c>
      <c r="X681" s="75">
        <v>2</v>
      </c>
      <c r="Y681" s="75">
        <v>2.081</v>
      </c>
      <c r="Z681" s="105">
        <v>1.29</v>
      </c>
      <c r="AA681" s="104"/>
      <c r="AF681" s="105"/>
    </row>
    <row r="682" spans="2:32" x14ac:dyDescent="0.3">
      <c r="B682" s="111">
        <v>112.83333333333435</v>
      </c>
      <c r="C682" s="104"/>
      <c r="H682" s="105"/>
      <c r="I682" s="104"/>
      <c r="N682" s="105"/>
      <c r="O682" s="104">
        <v>28.33</v>
      </c>
      <c r="P682" s="75">
        <v>28.38</v>
      </c>
      <c r="Q682" s="75">
        <v>28.39</v>
      </c>
      <c r="R682" s="75">
        <v>1.38</v>
      </c>
      <c r="S682" s="75">
        <v>1.123</v>
      </c>
      <c r="T682" s="105">
        <v>0.92700000000000005</v>
      </c>
      <c r="U682" s="104">
        <v>28.31</v>
      </c>
      <c r="V682" s="75">
        <v>28.35</v>
      </c>
      <c r="W682" s="75">
        <v>28.19</v>
      </c>
      <c r="X682" s="75">
        <v>2.0099999999999998</v>
      </c>
      <c r="Y682" s="75">
        <v>2.08</v>
      </c>
      <c r="Z682" s="105">
        <v>1.002</v>
      </c>
      <c r="AA682" s="104"/>
      <c r="AF682" s="105"/>
    </row>
    <row r="683" spans="2:32" x14ac:dyDescent="0.3">
      <c r="B683" s="111">
        <v>113.00000000000102</v>
      </c>
      <c r="C683" s="104"/>
      <c r="H683" s="105"/>
      <c r="I683" s="104"/>
      <c r="N683" s="105"/>
      <c r="O683" s="104">
        <v>28.4</v>
      </c>
      <c r="P683" s="75">
        <v>28.45</v>
      </c>
      <c r="Q683" s="75">
        <v>28.45</v>
      </c>
      <c r="R683" s="75">
        <v>1.38</v>
      </c>
      <c r="S683" s="75">
        <v>1.1040000000000001</v>
      </c>
      <c r="T683" s="105">
        <v>0.80300000000000005</v>
      </c>
      <c r="U683" s="104">
        <v>28.37</v>
      </c>
      <c r="V683" s="75">
        <v>28.42</v>
      </c>
      <c r="W683" s="75">
        <v>28.26</v>
      </c>
      <c r="X683" s="75">
        <v>2.2999999999999998</v>
      </c>
      <c r="Y683" s="75">
        <v>2.4540000000000002</v>
      </c>
      <c r="Z683" s="105">
        <v>1.1279999999999999</v>
      </c>
      <c r="AA683" s="104"/>
      <c r="AF683" s="105"/>
    </row>
    <row r="684" spans="2:32" x14ac:dyDescent="0.3">
      <c r="B684" s="111">
        <v>113.16666666666769</v>
      </c>
      <c r="C684" s="104"/>
      <c r="H684" s="105"/>
      <c r="I684" s="104"/>
      <c r="N684" s="105"/>
      <c r="O684" s="104">
        <v>28.48</v>
      </c>
      <c r="P684" s="75">
        <v>28.53</v>
      </c>
      <c r="Q684" s="75">
        <v>28.53</v>
      </c>
      <c r="R684" s="75">
        <v>1.92</v>
      </c>
      <c r="S684" s="75">
        <v>1.0529999999999999</v>
      </c>
      <c r="T684" s="105">
        <v>0.68300000000000005</v>
      </c>
      <c r="U684" s="104">
        <v>28.45</v>
      </c>
      <c r="V684" s="75">
        <v>28.49</v>
      </c>
      <c r="W684" s="75">
        <v>28.34</v>
      </c>
      <c r="X684" s="75">
        <v>2.0299999999999998</v>
      </c>
      <c r="Y684" s="75">
        <v>2.0779999999999998</v>
      </c>
      <c r="Z684" s="105">
        <v>0.97199999999999998</v>
      </c>
      <c r="AA684" s="104"/>
      <c r="AF684" s="105"/>
    </row>
    <row r="685" spans="2:32" x14ac:dyDescent="0.3">
      <c r="B685" s="111">
        <v>113.33333333333437</v>
      </c>
      <c r="C685" s="104"/>
      <c r="H685" s="105"/>
      <c r="I685" s="104"/>
      <c r="N685" s="105"/>
      <c r="O685" s="104">
        <v>28.55</v>
      </c>
      <c r="P685" s="75">
        <v>28.6</v>
      </c>
      <c r="Q685" s="75">
        <v>28.61</v>
      </c>
      <c r="R685" s="75">
        <v>1.37</v>
      </c>
      <c r="S685" s="75">
        <v>1.0649999999999999</v>
      </c>
      <c r="T685" s="105">
        <v>0.82499999999999996</v>
      </c>
      <c r="U685" s="104">
        <v>28.53</v>
      </c>
      <c r="V685" s="75">
        <v>28.56</v>
      </c>
      <c r="W685" s="75">
        <v>28.41</v>
      </c>
      <c r="X685" s="75">
        <v>2.04</v>
      </c>
      <c r="Y685" s="75">
        <v>2.0779999999999998</v>
      </c>
      <c r="Z685" s="105">
        <v>0.94699999999999995</v>
      </c>
      <c r="AA685" s="104"/>
      <c r="AF685" s="105"/>
    </row>
    <row r="686" spans="2:32" x14ac:dyDescent="0.3">
      <c r="B686" s="111">
        <v>113.50000000000104</v>
      </c>
      <c r="C686" s="104"/>
      <c r="H686" s="105"/>
      <c r="I686" s="104"/>
      <c r="N686" s="105"/>
      <c r="O686" s="104">
        <v>28.63</v>
      </c>
      <c r="P686" s="75">
        <v>28.68</v>
      </c>
      <c r="Q686" s="75">
        <v>28.68</v>
      </c>
      <c r="R686" s="75">
        <v>1.36</v>
      </c>
      <c r="S686" s="75">
        <v>1.046</v>
      </c>
      <c r="T686" s="105">
        <v>0.84199999999999997</v>
      </c>
      <c r="U686" s="104">
        <v>28.61</v>
      </c>
      <c r="V686" s="75">
        <v>28.64</v>
      </c>
      <c r="W686" s="75">
        <v>28.49</v>
      </c>
      <c r="X686" s="75">
        <v>1.9</v>
      </c>
      <c r="Y686" s="75">
        <v>2.0779999999999998</v>
      </c>
      <c r="Z686" s="105">
        <v>0.94199999999999995</v>
      </c>
      <c r="AA686" s="104"/>
      <c r="AF686" s="105"/>
    </row>
    <row r="687" spans="2:32" x14ac:dyDescent="0.3">
      <c r="B687" s="111">
        <v>113.66666666666771</v>
      </c>
      <c r="C687" s="104"/>
      <c r="H687" s="105"/>
      <c r="I687" s="104"/>
      <c r="N687" s="105"/>
      <c r="O687" s="104">
        <v>28.7</v>
      </c>
      <c r="P687" s="75">
        <v>28.76</v>
      </c>
      <c r="Q687" s="75">
        <v>28.74</v>
      </c>
      <c r="R687" s="75">
        <v>1.39</v>
      </c>
      <c r="S687" s="75">
        <v>1.3089999999999999</v>
      </c>
      <c r="T687" s="105">
        <v>0.84699999999999998</v>
      </c>
      <c r="U687" s="104">
        <v>28.67</v>
      </c>
      <c r="V687" s="75">
        <v>28.71</v>
      </c>
      <c r="W687" s="75">
        <v>28.55</v>
      </c>
      <c r="X687" s="75">
        <v>2.06</v>
      </c>
      <c r="Y687" s="75">
        <v>2.0760000000000001</v>
      </c>
      <c r="Z687" s="105">
        <v>1.1890000000000001</v>
      </c>
      <c r="AA687" s="104"/>
      <c r="AF687" s="105"/>
    </row>
    <row r="688" spans="2:32" x14ac:dyDescent="0.3">
      <c r="B688" s="111">
        <v>113.83333333333438</v>
      </c>
      <c r="C688" s="104"/>
      <c r="H688" s="105"/>
      <c r="I688" s="104"/>
      <c r="N688" s="105"/>
      <c r="O688" s="104">
        <v>28.78</v>
      </c>
      <c r="P688" s="75">
        <v>28.83</v>
      </c>
      <c r="Q688" s="75">
        <v>28.82</v>
      </c>
      <c r="R688" s="75">
        <v>1.35</v>
      </c>
      <c r="S688" s="75">
        <v>1.0069999999999999</v>
      </c>
      <c r="T688" s="105">
        <v>1.0249999999999999</v>
      </c>
      <c r="U688" s="104">
        <v>28.75</v>
      </c>
      <c r="V688" s="75">
        <v>28.78</v>
      </c>
      <c r="W688" s="75">
        <v>28.64</v>
      </c>
      <c r="X688" s="75">
        <v>2.0699999999999998</v>
      </c>
      <c r="Y688" s="75">
        <v>2.0760000000000001</v>
      </c>
      <c r="Z688" s="105">
        <v>0.91100000000000003</v>
      </c>
      <c r="AA688" s="104"/>
      <c r="AF688" s="105"/>
    </row>
    <row r="689" spans="2:32" x14ac:dyDescent="0.3">
      <c r="B689" s="111">
        <v>114.00000000000105</v>
      </c>
      <c r="C689" s="104"/>
      <c r="H689" s="105"/>
      <c r="I689" s="104"/>
      <c r="N689" s="105"/>
      <c r="O689" s="104">
        <v>28.85</v>
      </c>
      <c r="P689" s="75">
        <v>28.9</v>
      </c>
      <c r="Q689" s="75">
        <v>28.89</v>
      </c>
      <c r="R689" s="75">
        <v>1.35</v>
      </c>
      <c r="S689" s="75">
        <v>0.98699999999999999</v>
      </c>
      <c r="T689" s="105">
        <v>0.86899999999999999</v>
      </c>
      <c r="U689" s="104">
        <v>28.86</v>
      </c>
      <c r="V689" s="75">
        <v>28.85</v>
      </c>
      <c r="W689" s="75">
        <v>28.71</v>
      </c>
      <c r="X689" s="75">
        <v>2.14</v>
      </c>
      <c r="Y689" s="75">
        <v>2.3679999999999999</v>
      </c>
      <c r="Z689" s="105">
        <v>1.0449999999999999</v>
      </c>
      <c r="AA689" s="104"/>
      <c r="AF689" s="105"/>
    </row>
    <row r="690" spans="2:32" x14ac:dyDescent="0.3">
      <c r="B690" s="111">
        <v>114.16666666666772</v>
      </c>
      <c r="C690" s="104"/>
      <c r="H690" s="105"/>
      <c r="I690" s="104"/>
      <c r="N690" s="105"/>
      <c r="O690" s="104">
        <v>28.92</v>
      </c>
      <c r="P690" s="75">
        <v>28.98</v>
      </c>
      <c r="Q690" s="75">
        <v>28.96</v>
      </c>
      <c r="R690" s="75">
        <v>1.46</v>
      </c>
      <c r="S690" s="75">
        <v>1.079</v>
      </c>
      <c r="T690" s="105">
        <v>1.2629999999999999</v>
      </c>
      <c r="U690" s="104">
        <v>28.89</v>
      </c>
      <c r="V690" s="75">
        <v>28.92</v>
      </c>
      <c r="W690" s="75">
        <v>28.78</v>
      </c>
      <c r="X690" s="75">
        <v>2.09</v>
      </c>
      <c r="Y690" s="75">
        <v>2.0739999999999998</v>
      </c>
      <c r="Z690" s="105">
        <v>0.88100000000000001</v>
      </c>
      <c r="AA690" s="104"/>
      <c r="AF690" s="105"/>
    </row>
    <row r="691" spans="2:32" x14ac:dyDescent="0.3">
      <c r="B691" s="111">
        <v>114.33333333333439</v>
      </c>
      <c r="C691" s="104"/>
      <c r="H691" s="105"/>
      <c r="I691" s="104"/>
      <c r="N691" s="105"/>
      <c r="O691" s="104">
        <v>29</v>
      </c>
      <c r="P691" s="75">
        <v>29.06</v>
      </c>
      <c r="Q691" s="75">
        <v>29.03</v>
      </c>
      <c r="R691" s="75">
        <v>1.34</v>
      </c>
      <c r="S691" s="75">
        <v>0.94899999999999995</v>
      </c>
      <c r="T691" s="105">
        <v>0.89200000000000002</v>
      </c>
      <c r="U691" s="104">
        <v>28.97</v>
      </c>
      <c r="V691" s="75">
        <v>28.99</v>
      </c>
      <c r="W691" s="75">
        <v>28.86</v>
      </c>
      <c r="X691" s="75">
        <v>2.1</v>
      </c>
      <c r="Y691" s="75">
        <v>2.073</v>
      </c>
      <c r="Z691" s="105">
        <v>1.179</v>
      </c>
      <c r="AA691" s="104"/>
      <c r="AF691" s="105"/>
    </row>
    <row r="692" spans="2:32" x14ac:dyDescent="0.3">
      <c r="B692" s="111">
        <v>114.50000000000107</v>
      </c>
      <c r="C692" s="104"/>
      <c r="H692" s="105"/>
      <c r="I692" s="104"/>
      <c r="N692" s="105"/>
      <c r="O692" s="104">
        <v>29.07</v>
      </c>
      <c r="P692" s="75">
        <v>29.13</v>
      </c>
      <c r="Q692" s="75">
        <v>29.11</v>
      </c>
      <c r="R692" s="75">
        <v>1.34</v>
      </c>
      <c r="S692" s="75">
        <v>0.92900000000000005</v>
      </c>
      <c r="T692" s="105">
        <v>0.83599999999999997</v>
      </c>
      <c r="U692" s="104">
        <v>28.97</v>
      </c>
      <c r="V692" s="75">
        <v>29.06</v>
      </c>
      <c r="W692" s="75">
        <v>28.93</v>
      </c>
      <c r="X692" s="75">
        <v>2.71</v>
      </c>
      <c r="Y692" s="75">
        <v>2.0329999999999999</v>
      </c>
      <c r="Z692" s="105">
        <v>0.85</v>
      </c>
      <c r="AA692" s="104"/>
      <c r="AF692" s="105"/>
    </row>
    <row r="693" spans="2:32" x14ac:dyDescent="0.3">
      <c r="B693" s="111">
        <v>114.66666666666774</v>
      </c>
      <c r="C693" s="104"/>
      <c r="H693" s="105"/>
      <c r="I693" s="104"/>
      <c r="N693" s="105"/>
      <c r="O693" s="104">
        <v>29.15</v>
      </c>
      <c r="P693" s="75">
        <v>29.21</v>
      </c>
      <c r="Q693" s="75">
        <v>29.17</v>
      </c>
      <c r="R693" s="75">
        <v>1.7</v>
      </c>
      <c r="S693" s="75">
        <v>1.167</v>
      </c>
      <c r="T693" s="105">
        <v>0.91400000000000003</v>
      </c>
      <c r="U693" s="104">
        <v>29.11</v>
      </c>
      <c r="V693" s="75">
        <v>29.13</v>
      </c>
      <c r="W693" s="75">
        <v>29.01</v>
      </c>
      <c r="X693" s="75">
        <v>2.12</v>
      </c>
      <c r="Y693" s="75">
        <v>2.0720000000000001</v>
      </c>
      <c r="Z693" s="105">
        <v>1.095</v>
      </c>
      <c r="AA693" s="104"/>
      <c r="AF693" s="105"/>
    </row>
    <row r="694" spans="2:32" x14ac:dyDescent="0.3">
      <c r="B694" s="111">
        <v>114.83333333333441</v>
      </c>
      <c r="C694" s="104"/>
      <c r="H694" s="105"/>
      <c r="I694" s="104"/>
      <c r="N694" s="105"/>
      <c r="O694" s="104">
        <v>29.22</v>
      </c>
      <c r="P694" s="75">
        <v>29.28</v>
      </c>
      <c r="Q694" s="75">
        <v>29.25</v>
      </c>
      <c r="R694" s="75">
        <v>1.33</v>
      </c>
      <c r="S694" s="75">
        <v>0.89</v>
      </c>
      <c r="T694" s="105">
        <v>1.0680000000000001</v>
      </c>
      <c r="U694" s="104">
        <v>29.19</v>
      </c>
      <c r="V694" s="75">
        <v>29.2</v>
      </c>
      <c r="W694" s="75">
        <v>29.08</v>
      </c>
      <c r="X694" s="75">
        <v>2.13</v>
      </c>
      <c r="Y694" s="75">
        <v>2.0710000000000002</v>
      </c>
      <c r="Z694" s="105">
        <v>1.1499999999999999</v>
      </c>
      <c r="AA694" s="104"/>
      <c r="AF694" s="105"/>
    </row>
    <row r="695" spans="2:32" x14ac:dyDescent="0.3">
      <c r="B695" s="111">
        <v>115.00000000000108</v>
      </c>
      <c r="C695" s="104"/>
      <c r="H695" s="105"/>
      <c r="I695" s="104"/>
      <c r="N695" s="105"/>
      <c r="O695" s="104">
        <v>29.3</v>
      </c>
      <c r="P695" s="75">
        <v>29.35</v>
      </c>
      <c r="Q695" s="75">
        <v>29.32</v>
      </c>
      <c r="R695" s="75">
        <v>1.32</v>
      </c>
      <c r="S695" s="75">
        <v>0.871</v>
      </c>
      <c r="T695" s="105">
        <v>0.93600000000000005</v>
      </c>
      <c r="U695" s="104">
        <v>29.34</v>
      </c>
      <c r="V695" s="75">
        <v>29.27</v>
      </c>
      <c r="W695" s="75">
        <v>29.16</v>
      </c>
      <c r="X695" s="75">
        <v>2.23</v>
      </c>
      <c r="Y695" s="75">
        <v>2.1930000000000001</v>
      </c>
      <c r="Z695" s="105">
        <v>1.85</v>
      </c>
      <c r="AA695" s="104"/>
      <c r="AF695" s="105"/>
    </row>
    <row r="696" spans="2:32" x14ac:dyDescent="0.3">
      <c r="B696" s="111">
        <v>115.16666666666775</v>
      </c>
      <c r="C696" s="104"/>
      <c r="H696" s="105"/>
      <c r="I696" s="104"/>
      <c r="N696" s="105"/>
      <c r="O696" s="104">
        <v>29.37</v>
      </c>
      <c r="P696" s="75">
        <v>29.43</v>
      </c>
      <c r="Q696" s="75">
        <v>29.39</v>
      </c>
      <c r="R696" s="75">
        <v>1.351</v>
      </c>
      <c r="S696" s="75">
        <v>0.84099999999999997</v>
      </c>
      <c r="T696" s="105">
        <v>0.871</v>
      </c>
      <c r="U696" s="104">
        <v>29.34</v>
      </c>
      <c r="V696" s="75">
        <v>29.35</v>
      </c>
      <c r="W696" s="75">
        <v>29.23</v>
      </c>
      <c r="X696" s="75">
        <v>2.4609999999999999</v>
      </c>
      <c r="Y696" s="75">
        <v>2.0699999999999998</v>
      </c>
      <c r="Z696" s="105">
        <v>1.77</v>
      </c>
      <c r="AA696" s="104"/>
      <c r="AF696" s="105"/>
    </row>
    <row r="697" spans="2:32" x14ac:dyDescent="0.3">
      <c r="B697" s="111">
        <v>115.33333333333442</v>
      </c>
      <c r="C697" s="104"/>
      <c r="H697" s="105"/>
      <c r="I697" s="104"/>
      <c r="N697" s="105"/>
      <c r="O697" s="104">
        <v>29.45</v>
      </c>
      <c r="P697" s="75">
        <v>29.51</v>
      </c>
      <c r="Q697" s="75">
        <v>29.47</v>
      </c>
      <c r="R697" s="75">
        <v>1.282</v>
      </c>
      <c r="S697" s="75">
        <v>0.92600000000000005</v>
      </c>
      <c r="T697" s="105">
        <v>0.85299999999999998</v>
      </c>
      <c r="U697" s="104">
        <v>29.4</v>
      </c>
      <c r="V697" s="75">
        <v>29.42</v>
      </c>
      <c r="W697" s="75">
        <v>29.31</v>
      </c>
      <c r="X697" s="75">
        <v>1.996</v>
      </c>
      <c r="Y697" s="75">
        <v>2.069</v>
      </c>
      <c r="Z697" s="105">
        <v>1.27</v>
      </c>
      <c r="AA697" s="104"/>
      <c r="AF697" s="105"/>
    </row>
    <row r="698" spans="2:32" x14ac:dyDescent="0.3">
      <c r="B698" s="111">
        <v>115.50000000000109</v>
      </c>
      <c r="C698" s="104"/>
      <c r="H698" s="105"/>
      <c r="I698" s="104"/>
      <c r="N698" s="105"/>
      <c r="O698" s="104">
        <v>29.52</v>
      </c>
      <c r="P698" s="75">
        <v>29.58</v>
      </c>
      <c r="Q698" s="75">
        <v>29.54</v>
      </c>
      <c r="R698" s="75">
        <v>1.3560000000000001</v>
      </c>
      <c r="S698" s="75">
        <v>0.79</v>
      </c>
      <c r="T698" s="105">
        <v>0.88</v>
      </c>
      <c r="U698" s="104">
        <v>29.47</v>
      </c>
      <c r="V698" s="75">
        <v>29.48</v>
      </c>
      <c r="W698" s="75">
        <v>29.38</v>
      </c>
      <c r="X698" s="75">
        <v>2.0539999999999998</v>
      </c>
      <c r="Y698" s="75">
        <v>1.762</v>
      </c>
      <c r="Z698" s="105">
        <v>0.94</v>
      </c>
      <c r="AA698" s="104"/>
      <c r="AF698" s="105"/>
    </row>
    <row r="699" spans="2:32" x14ac:dyDescent="0.3">
      <c r="B699" s="111">
        <v>115.66666666666777</v>
      </c>
      <c r="C699" s="104"/>
      <c r="H699" s="105"/>
      <c r="I699" s="104"/>
      <c r="N699" s="105"/>
      <c r="O699" s="104">
        <v>29.59</v>
      </c>
      <c r="P699" s="75">
        <v>29.66</v>
      </c>
      <c r="Q699" s="75">
        <v>29.61</v>
      </c>
      <c r="R699" s="75">
        <v>1.07</v>
      </c>
      <c r="S699" s="75">
        <v>0.629</v>
      </c>
      <c r="T699" s="105">
        <v>0.82599999999999996</v>
      </c>
      <c r="U699" s="104">
        <v>29.54</v>
      </c>
      <c r="V699" s="75">
        <v>29.56</v>
      </c>
      <c r="W699" s="75">
        <v>29.45</v>
      </c>
      <c r="X699" s="75">
        <v>2.1379999999999999</v>
      </c>
      <c r="Y699" s="75">
        <v>2.0680000000000001</v>
      </c>
      <c r="Z699" s="105">
        <v>0.83</v>
      </c>
      <c r="AA699" s="104"/>
      <c r="AF699" s="105"/>
    </row>
    <row r="700" spans="2:32" x14ac:dyDescent="0.3">
      <c r="B700" s="111">
        <v>115.83333333333444</v>
      </c>
      <c r="C700" s="104"/>
      <c r="H700" s="105"/>
      <c r="I700" s="104"/>
      <c r="N700" s="105"/>
      <c r="O700" s="104">
        <v>29.67</v>
      </c>
      <c r="P700" s="75">
        <v>29.73</v>
      </c>
      <c r="Q700" s="75">
        <v>29.68</v>
      </c>
      <c r="R700" s="75">
        <v>1.1890000000000001</v>
      </c>
      <c r="S700" s="75">
        <v>0.83299999999999996</v>
      </c>
      <c r="T700" s="105">
        <v>0.78100000000000003</v>
      </c>
      <c r="U700" s="104">
        <v>29.62</v>
      </c>
      <c r="V700" s="75">
        <v>29.63</v>
      </c>
      <c r="W700" s="75">
        <v>29.53</v>
      </c>
      <c r="X700" s="75">
        <v>2.278</v>
      </c>
      <c r="Y700" s="75">
        <v>2.0670000000000002</v>
      </c>
      <c r="Z700" s="105">
        <v>1.17</v>
      </c>
      <c r="AA700" s="104"/>
      <c r="AF700" s="105"/>
    </row>
    <row r="701" spans="2:32" x14ac:dyDescent="0.3">
      <c r="B701" s="111">
        <v>116.00000000000111</v>
      </c>
      <c r="C701" s="104"/>
      <c r="H701" s="105"/>
      <c r="I701" s="104"/>
      <c r="N701" s="105"/>
      <c r="O701" s="104">
        <v>29.74</v>
      </c>
      <c r="P701" s="75">
        <v>29.81</v>
      </c>
      <c r="Q701" s="75">
        <v>29.74</v>
      </c>
      <c r="R701" s="75">
        <v>1.228</v>
      </c>
      <c r="S701" s="75">
        <v>0.80200000000000005</v>
      </c>
      <c r="T701" s="105">
        <v>0.91</v>
      </c>
      <c r="U701" s="104">
        <v>29.68</v>
      </c>
      <c r="V701" s="75">
        <v>29.7</v>
      </c>
      <c r="W701" s="75">
        <v>29.61</v>
      </c>
      <c r="X701" s="75">
        <v>2.113</v>
      </c>
      <c r="Y701" s="75">
        <v>2.4540000000000002</v>
      </c>
      <c r="Z701" s="105">
        <v>1.5</v>
      </c>
      <c r="AA701" s="104"/>
      <c r="AF701" s="105"/>
    </row>
    <row r="702" spans="2:32" x14ac:dyDescent="0.3">
      <c r="B702" s="111">
        <v>116.16666666666778</v>
      </c>
      <c r="C702" s="104"/>
      <c r="H702" s="105"/>
      <c r="I702" s="104"/>
      <c r="N702" s="105"/>
      <c r="O702" s="104">
        <v>29.82</v>
      </c>
      <c r="P702" s="75">
        <v>29.88</v>
      </c>
      <c r="Q702" s="75">
        <v>29.84</v>
      </c>
      <c r="R702" s="75">
        <v>1.1200000000000001</v>
      </c>
      <c r="S702" s="75">
        <v>0.81799999999999995</v>
      </c>
      <c r="T702" s="105">
        <v>0.876</v>
      </c>
      <c r="U702" s="104">
        <v>29.75</v>
      </c>
      <c r="V702" s="75">
        <v>29.76</v>
      </c>
      <c r="W702" s="75">
        <v>29.68</v>
      </c>
      <c r="X702" s="75">
        <v>1.9490000000000001</v>
      </c>
      <c r="Y702" s="75">
        <v>2.0659999999999998</v>
      </c>
      <c r="Z702" s="105">
        <v>1.37</v>
      </c>
      <c r="AA702" s="104"/>
      <c r="AF702" s="105"/>
    </row>
    <row r="703" spans="2:32" x14ac:dyDescent="0.3">
      <c r="B703" s="111">
        <v>116.33333333333445</v>
      </c>
      <c r="C703" s="104"/>
      <c r="H703" s="105"/>
      <c r="I703" s="104"/>
      <c r="N703" s="105"/>
      <c r="O703" s="104">
        <v>29.89</v>
      </c>
      <c r="P703" s="75">
        <v>29.97</v>
      </c>
      <c r="Q703" s="75">
        <v>29.9</v>
      </c>
      <c r="R703" s="75">
        <v>1.2490000000000001</v>
      </c>
      <c r="S703" s="75">
        <v>0.78800000000000003</v>
      </c>
      <c r="T703" s="105">
        <v>0.86</v>
      </c>
      <c r="U703" s="104">
        <v>29.81</v>
      </c>
      <c r="V703" s="75">
        <v>29.84</v>
      </c>
      <c r="W703" s="75">
        <v>29.75</v>
      </c>
      <c r="X703" s="75">
        <v>1.8080000000000001</v>
      </c>
      <c r="Y703" s="75">
        <v>2.0649999999999999</v>
      </c>
      <c r="Z703" s="105">
        <v>1.5</v>
      </c>
      <c r="AA703" s="104"/>
      <c r="AF703" s="105"/>
    </row>
    <row r="704" spans="2:32" x14ac:dyDescent="0.3">
      <c r="B704" s="111">
        <v>116.50000000000112</v>
      </c>
      <c r="C704" s="104"/>
      <c r="H704" s="105"/>
      <c r="I704" s="104"/>
      <c r="N704" s="105"/>
      <c r="O704" s="104">
        <v>29.97</v>
      </c>
      <c r="P704" s="75">
        <v>30.04</v>
      </c>
      <c r="Q704" s="75">
        <v>29.97</v>
      </c>
      <c r="R704" s="75">
        <v>1.0780000000000001</v>
      </c>
      <c r="S704" s="75">
        <v>0.76100000000000001</v>
      </c>
      <c r="T704" s="105">
        <v>0.76100000000000001</v>
      </c>
      <c r="U704" s="104">
        <v>29.89</v>
      </c>
      <c r="V704" s="75">
        <v>29.92</v>
      </c>
      <c r="W704" s="75">
        <v>29.81</v>
      </c>
      <c r="X704" s="75">
        <v>2.2690000000000001</v>
      </c>
      <c r="Y704" s="75">
        <v>1.7470000000000001</v>
      </c>
      <c r="Z704" s="105">
        <v>1.61</v>
      </c>
      <c r="AA704" s="104"/>
      <c r="AF704" s="105"/>
    </row>
    <row r="705" spans="2:32" x14ac:dyDescent="0.3">
      <c r="B705" s="111">
        <v>116.66666666666779</v>
      </c>
      <c r="C705" s="104"/>
      <c r="H705" s="105"/>
      <c r="I705" s="104"/>
      <c r="N705" s="105"/>
      <c r="O705" s="104">
        <v>30.04</v>
      </c>
      <c r="P705" s="75">
        <v>30.14</v>
      </c>
      <c r="Q705" s="75">
        <v>30.04</v>
      </c>
      <c r="R705" s="75">
        <v>1.4410000000000001</v>
      </c>
      <c r="S705" s="75">
        <v>0.79200000000000004</v>
      </c>
      <c r="T705" s="105">
        <v>0.745</v>
      </c>
      <c r="U705" s="104">
        <v>29.96</v>
      </c>
      <c r="V705" s="75">
        <v>30.01</v>
      </c>
      <c r="W705" s="75">
        <v>29.88</v>
      </c>
      <c r="X705" s="75">
        <v>2.331</v>
      </c>
      <c r="Y705" s="75">
        <v>2.0630000000000002</v>
      </c>
      <c r="Z705" s="105">
        <v>1.52</v>
      </c>
      <c r="AA705" s="104"/>
      <c r="AF705" s="105"/>
    </row>
    <row r="706" spans="2:32" x14ac:dyDescent="0.3">
      <c r="B706" s="111">
        <v>116.83333333333447</v>
      </c>
      <c r="C706" s="104"/>
      <c r="H706" s="105"/>
      <c r="I706" s="104"/>
      <c r="N706" s="105"/>
      <c r="O706" s="104">
        <v>30.13</v>
      </c>
      <c r="P706" s="75">
        <v>30.22</v>
      </c>
      <c r="Q706" s="75">
        <v>30.13</v>
      </c>
      <c r="R706" s="75">
        <v>1.3160000000000001</v>
      </c>
      <c r="S706" s="75">
        <v>0.64300000000000002</v>
      </c>
      <c r="T706" s="105">
        <v>0.78700000000000003</v>
      </c>
      <c r="U706" s="104">
        <v>30.05</v>
      </c>
      <c r="V706" s="75">
        <v>30.09</v>
      </c>
      <c r="W706" s="75">
        <v>29.96</v>
      </c>
      <c r="X706" s="75">
        <v>2.5529999999999999</v>
      </c>
      <c r="Y706" s="75">
        <v>2.0630000000000002</v>
      </c>
      <c r="Z706" s="105">
        <v>1.41</v>
      </c>
      <c r="AA706" s="104"/>
      <c r="AF706" s="105"/>
    </row>
    <row r="707" spans="2:32" x14ac:dyDescent="0.3">
      <c r="B707" s="111">
        <v>117.00000000000114</v>
      </c>
      <c r="C707" s="104"/>
      <c r="H707" s="105"/>
      <c r="I707" s="104"/>
      <c r="N707" s="105"/>
      <c r="O707" s="104">
        <v>30.22</v>
      </c>
      <c r="P707" s="75">
        <v>30.3</v>
      </c>
      <c r="Q707" s="75">
        <v>30.2</v>
      </c>
      <c r="R707" s="75">
        <v>1.143</v>
      </c>
      <c r="S707" s="75">
        <v>0.68700000000000006</v>
      </c>
      <c r="T707" s="105">
        <v>0.66200000000000003</v>
      </c>
      <c r="U707" s="104">
        <v>30.12</v>
      </c>
      <c r="V707" s="75">
        <v>30.17</v>
      </c>
      <c r="W707" s="75">
        <v>30.03</v>
      </c>
      <c r="X707" s="75">
        <v>2.2959999999999998</v>
      </c>
      <c r="Y707" s="75">
        <v>1.909</v>
      </c>
      <c r="Z707" s="105">
        <v>1.35</v>
      </c>
      <c r="AA707" s="104"/>
      <c r="AF707" s="105"/>
    </row>
    <row r="708" spans="2:32" x14ac:dyDescent="0.3">
      <c r="B708" s="111">
        <v>117.16666666666781</v>
      </c>
      <c r="C708" s="104"/>
      <c r="H708" s="105"/>
      <c r="I708" s="104"/>
      <c r="N708" s="105"/>
      <c r="O708" s="104">
        <v>30.29</v>
      </c>
      <c r="P708" s="75">
        <v>30.37</v>
      </c>
      <c r="Q708" s="75">
        <v>30.27</v>
      </c>
      <c r="R708" s="75">
        <v>1.1970000000000001</v>
      </c>
      <c r="S708" s="75">
        <v>0.63500000000000001</v>
      </c>
      <c r="T708" s="105">
        <v>0.81</v>
      </c>
      <c r="U708" s="104">
        <v>30.2</v>
      </c>
      <c r="V708" s="75">
        <v>30.24</v>
      </c>
      <c r="W708" s="75">
        <v>30.1</v>
      </c>
      <c r="X708" s="75">
        <v>2.2679999999999998</v>
      </c>
      <c r="Y708" s="75">
        <v>1.5940000000000001</v>
      </c>
      <c r="Z708" s="105">
        <v>1.42</v>
      </c>
      <c r="AA708" s="104"/>
      <c r="AF708" s="105"/>
    </row>
    <row r="709" spans="2:32" x14ac:dyDescent="0.3">
      <c r="B709" s="111">
        <v>117.33333333333448</v>
      </c>
      <c r="C709" s="104"/>
      <c r="H709" s="105"/>
      <c r="I709" s="104"/>
      <c r="N709" s="105"/>
      <c r="O709" s="104">
        <v>30.38</v>
      </c>
      <c r="P709" s="75">
        <v>30.44</v>
      </c>
      <c r="Q709" s="75">
        <v>30.34</v>
      </c>
      <c r="R709" s="75">
        <v>1.32</v>
      </c>
      <c r="S709" s="75">
        <v>0.86</v>
      </c>
      <c r="T709" s="105">
        <v>0.89400000000000002</v>
      </c>
      <c r="U709" s="104">
        <v>30.28</v>
      </c>
      <c r="V709" s="75">
        <v>30.31</v>
      </c>
      <c r="W709" s="75">
        <v>30.16</v>
      </c>
      <c r="X709" s="75">
        <v>2.3660000000000001</v>
      </c>
      <c r="Y709" s="75">
        <v>1.5609999999999999</v>
      </c>
      <c r="Z709" s="105">
        <v>1.55</v>
      </c>
      <c r="AA709" s="104"/>
      <c r="AF709" s="105"/>
    </row>
    <row r="710" spans="2:32" x14ac:dyDescent="0.3">
      <c r="B710" s="111">
        <v>117.50000000000115</v>
      </c>
      <c r="C710" s="104"/>
      <c r="H710" s="105"/>
      <c r="I710" s="104"/>
      <c r="N710" s="105"/>
      <c r="O710" s="104">
        <v>30.45</v>
      </c>
      <c r="P710" s="75">
        <v>30.52</v>
      </c>
      <c r="Q710" s="75">
        <v>30.43</v>
      </c>
      <c r="R710" s="75">
        <v>1.2749999999999999</v>
      </c>
      <c r="S710" s="75">
        <v>0.81299999999999994</v>
      </c>
      <c r="T710" s="105">
        <v>0.89</v>
      </c>
      <c r="U710" s="104">
        <v>30.36</v>
      </c>
      <c r="V710" s="75">
        <v>30.39</v>
      </c>
      <c r="W710" s="75">
        <v>30.24</v>
      </c>
      <c r="X710" s="75">
        <v>2.089</v>
      </c>
      <c r="Y710" s="75">
        <v>1.764</v>
      </c>
      <c r="Z710" s="105">
        <v>1.44</v>
      </c>
      <c r="AA710" s="104"/>
      <c r="AF710" s="105"/>
    </row>
    <row r="711" spans="2:32" x14ac:dyDescent="0.3">
      <c r="B711" s="111">
        <v>117.66666666666782</v>
      </c>
      <c r="C711" s="104"/>
      <c r="H711" s="105"/>
      <c r="I711" s="104"/>
      <c r="N711" s="105"/>
      <c r="O711" s="104">
        <v>30.52</v>
      </c>
      <c r="P711" s="75">
        <v>30.6</v>
      </c>
      <c r="Q711" s="75">
        <v>30.51</v>
      </c>
      <c r="R711" s="75">
        <v>1.19</v>
      </c>
      <c r="S711" s="75">
        <v>0.75700000000000001</v>
      </c>
      <c r="T711" s="105">
        <v>0.89300000000000002</v>
      </c>
      <c r="U711" s="104">
        <v>30.43</v>
      </c>
      <c r="V711" s="75">
        <v>30.46</v>
      </c>
      <c r="W711" s="75">
        <v>30.31</v>
      </c>
      <c r="X711" s="75">
        <v>2.0190000000000001</v>
      </c>
      <c r="Y711" s="75">
        <v>1.6819999999999999</v>
      </c>
      <c r="Z711" s="105">
        <v>1.2</v>
      </c>
      <c r="AA711" s="104"/>
      <c r="AF711" s="105"/>
    </row>
    <row r="712" spans="2:32" x14ac:dyDescent="0.3">
      <c r="B712" s="111">
        <v>117.83333333333449</v>
      </c>
      <c r="C712" s="104"/>
      <c r="H712" s="105"/>
      <c r="I712" s="104"/>
      <c r="N712" s="105"/>
      <c r="O712" s="104">
        <v>30.6</v>
      </c>
      <c r="P712" s="75">
        <v>30.67</v>
      </c>
      <c r="Q712" s="75">
        <v>30.59</v>
      </c>
      <c r="R712" s="75">
        <v>1.284</v>
      </c>
      <c r="S712" s="75">
        <v>0.76800000000000002</v>
      </c>
      <c r="T712" s="105">
        <v>0.82599999999999996</v>
      </c>
      <c r="U712" s="104">
        <v>30.5</v>
      </c>
      <c r="V712" s="75">
        <v>30.52</v>
      </c>
      <c r="W712" s="75">
        <v>30.39</v>
      </c>
      <c r="X712" s="75">
        <v>1.919</v>
      </c>
      <c r="Y712" s="75">
        <v>1.5129999999999999</v>
      </c>
      <c r="Z712" s="105">
        <v>1.47</v>
      </c>
      <c r="AA712" s="104"/>
      <c r="AF712" s="105"/>
    </row>
    <row r="713" spans="2:32" x14ac:dyDescent="0.3">
      <c r="B713" s="111">
        <v>118.00000000000117</v>
      </c>
      <c r="C713" s="104"/>
      <c r="H713" s="105"/>
      <c r="I713" s="104"/>
      <c r="N713" s="105"/>
      <c r="O713" s="104">
        <v>30.66</v>
      </c>
      <c r="P713" s="75">
        <v>30.73</v>
      </c>
      <c r="Q713" s="75">
        <v>30.66</v>
      </c>
      <c r="R713" s="75">
        <v>1.163</v>
      </c>
      <c r="S713" s="75">
        <v>0.748</v>
      </c>
      <c r="T713" s="105">
        <v>0.79100000000000004</v>
      </c>
      <c r="U713" s="104">
        <v>30.56</v>
      </c>
      <c r="V713" s="75">
        <v>30.59</v>
      </c>
      <c r="W713" s="75">
        <v>30.46</v>
      </c>
      <c r="X713" s="75">
        <v>1.6180000000000001</v>
      </c>
      <c r="Y713" s="75">
        <v>1.4330000000000001</v>
      </c>
      <c r="Z713" s="105">
        <v>1.73</v>
      </c>
      <c r="AA713" s="104"/>
      <c r="AF713" s="105"/>
    </row>
    <row r="714" spans="2:32" x14ac:dyDescent="0.3">
      <c r="B714" s="111">
        <v>118.16666666666784</v>
      </c>
      <c r="C714" s="104"/>
      <c r="H714" s="105"/>
      <c r="I714" s="104"/>
      <c r="N714" s="105"/>
      <c r="O714" s="104">
        <v>30.73</v>
      </c>
      <c r="P714" s="75">
        <v>30.8</v>
      </c>
      <c r="Q714" s="75">
        <v>30.72</v>
      </c>
      <c r="R714" s="75">
        <v>1.2769999999999999</v>
      </c>
      <c r="S714" s="75">
        <v>0.876</v>
      </c>
      <c r="T714" s="105">
        <v>0.82699999999999996</v>
      </c>
      <c r="U714" s="104">
        <v>30.63</v>
      </c>
      <c r="V714" s="75">
        <v>30.66</v>
      </c>
      <c r="W714" s="75">
        <v>30.52</v>
      </c>
      <c r="X714" s="75">
        <v>1.962</v>
      </c>
      <c r="Y714" s="75">
        <v>1.3740000000000001</v>
      </c>
      <c r="Z714" s="105">
        <v>0.86</v>
      </c>
      <c r="AA714" s="104"/>
      <c r="AF714" s="105"/>
    </row>
    <row r="715" spans="2:32" x14ac:dyDescent="0.3">
      <c r="B715" s="111">
        <v>118.33333333333451</v>
      </c>
      <c r="C715" s="104"/>
      <c r="H715" s="105"/>
      <c r="I715" s="104"/>
      <c r="N715" s="105"/>
      <c r="O715" s="104">
        <v>30.81</v>
      </c>
      <c r="P715" s="75">
        <v>30.87</v>
      </c>
      <c r="Q715" s="75">
        <v>30.79</v>
      </c>
      <c r="R715" s="75">
        <v>1.3779999999999999</v>
      </c>
      <c r="S715" s="75">
        <v>0.60899999999999999</v>
      </c>
      <c r="T715" s="105">
        <v>0.98499999999999999</v>
      </c>
      <c r="U715" s="104">
        <v>30.7</v>
      </c>
      <c r="V715" s="75">
        <v>30.73</v>
      </c>
      <c r="W715" s="75">
        <v>30.58</v>
      </c>
      <c r="X715" s="75">
        <v>2.0369999999999999</v>
      </c>
      <c r="Y715" s="75">
        <v>1.546</v>
      </c>
      <c r="Z715" s="105">
        <v>1.53</v>
      </c>
      <c r="AA715" s="104"/>
      <c r="AF715" s="105"/>
    </row>
    <row r="716" spans="2:32" x14ac:dyDescent="0.3">
      <c r="B716" s="111">
        <v>118.50000000000118</v>
      </c>
      <c r="C716" s="104"/>
      <c r="H716" s="105"/>
      <c r="I716" s="104"/>
      <c r="N716" s="105"/>
      <c r="O716" s="104">
        <v>30.89</v>
      </c>
      <c r="P716" s="75">
        <v>30.94</v>
      </c>
      <c r="Q716" s="75">
        <v>30.87</v>
      </c>
      <c r="R716" s="75">
        <v>1.302</v>
      </c>
      <c r="S716" s="75">
        <v>0.85799999999999998</v>
      </c>
      <c r="T716" s="105">
        <v>0.93899999999999995</v>
      </c>
      <c r="U716" s="104">
        <v>30.78</v>
      </c>
      <c r="V716" s="75">
        <v>30.79</v>
      </c>
      <c r="W716" s="75">
        <v>30.64</v>
      </c>
      <c r="X716" s="75">
        <v>2.073</v>
      </c>
      <c r="Y716" s="75">
        <v>1.1839999999999999</v>
      </c>
      <c r="Z716" s="105">
        <v>1.33</v>
      </c>
      <c r="AA716" s="104"/>
      <c r="AF716" s="105"/>
    </row>
    <row r="717" spans="2:32" x14ac:dyDescent="0.3">
      <c r="B717" s="111">
        <v>118.66666666666785</v>
      </c>
      <c r="C717" s="104"/>
      <c r="H717" s="105"/>
      <c r="I717" s="104"/>
      <c r="N717" s="105"/>
      <c r="O717" s="104">
        <v>30.96</v>
      </c>
      <c r="P717" s="75">
        <v>31.01</v>
      </c>
      <c r="Q717" s="75">
        <v>30.94</v>
      </c>
      <c r="R717" s="75">
        <v>1.145</v>
      </c>
      <c r="S717" s="75">
        <v>0.86199999999999999</v>
      </c>
      <c r="T717" s="105">
        <v>0.84099999999999997</v>
      </c>
      <c r="U717" s="104">
        <v>30.85</v>
      </c>
      <c r="V717" s="75">
        <v>30.86</v>
      </c>
      <c r="W717" s="75">
        <v>30.71</v>
      </c>
      <c r="X717" s="75">
        <v>1.7290000000000001</v>
      </c>
      <c r="Y717" s="75">
        <v>1.492</v>
      </c>
      <c r="Z717" s="105">
        <v>1.44</v>
      </c>
      <c r="AA717" s="104"/>
      <c r="AF717" s="105"/>
    </row>
    <row r="718" spans="2:32" x14ac:dyDescent="0.3">
      <c r="B718" s="111">
        <v>118.83333333333452</v>
      </c>
      <c r="C718" s="104"/>
      <c r="H718" s="105"/>
      <c r="I718" s="104"/>
      <c r="N718" s="105"/>
      <c r="O718" s="104">
        <v>31.02</v>
      </c>
      <c r="P718" s="75">
        <v>31.08</v>
      </c>
      <c r="Q718" s="75">
        <v>31</v>
      </c>
      <c r="R718" s="75">
        <v>0.995</v>
      </c>
      <c r="S718" s="75">
        <v>0.76900000000000002</v>
      </c>
      <c r="T718" s="105">
        <v>0.72599999999999998</v>
      </c>
      <c r="U718" s="104">
        <v>30.91</v>
      </c>
      <c r="V718" s="75">
        <v>30.93</v>
      </c>
      <c r="W718" s="75">
        <v>30.77</v>
      </c>
      <c r="X718" s="75">
        <v>1.5820000000000001</v>
      </c>
      <c r="Y718" s="75">
        <v>1.68</v>
      </c>
      <c r="Z718" s="105">
        <v>1.41</v>
      </c>
      <c r="AA718" s="104"/>
      <c r="AF718" s="105"/>
    </row>
    <row r="719" spans="2:32" x14ac:dyDescent="0.3">
      <c r="B719" s="111">
        <v>119.00000000000119</v>
      </c>
      <c r="C719" s="104"/>
      <c r="H719" s="105"/>
      <c r="I719" s="104"/>
      <c r="N719" s="105"/>
      <c r="O719" s="104">
        <v>31.09</v>
      </c>
      <c r="P719" s="75">
        <v>31.17</v>
      </c>
      <c r="Q719" s="75">
        <v>31.08</v>
      </c>
      <c r="R719" s="75">
        <v>1.179</v>
      </c>
      <c r="S719" s="75">
        <v>0.78300000000000003</v>
      </c>
      <c r="T719" s="105">
        <v>0.83099999999999996</v>
      </c>
      <c r="U719" s="104">
        <v>30.97</v>
      </c>
      <c r="V719" s="75">
        <v>31.01</v>
      </c>
      <c r="W719" s="75">
        <v>30.83</v>
      </c>
      <c r="X719" s="75">
        <v>1.5209999999999999</v>
      </c>
      <c r="Y719" s="75">
        <v>1.4950000000000001</v>
      </c>
      <c r="Z719" s="105">
        <v>1.48</v>
      </c>
      <c r="AA719" s="104"/>
      <c r="AF719" s="105"/>
    </row>
    <row r="720" spans="2:32" x14ac:dyDescent="0.3">
      <c r="B720" s="111">
        <v>119.16666666666787</v>
      </c>
      <c r="C720" s="104"/>
      <c r="H720" s="105"/>
      <c r="I720" s="104"/>
      <c r="N720" s="105"/>
      <c r="O720" s="104">
        <v>31.15</v>
      </c>
      <c r="P720" s="75">
        <v>31.24</v>
      </c>
      <c r="Q720" s="75">
        <v>31.15</v>
      </c>
      <c r="R720" s="75">
        <v>1.1399999999999999</v>
      </c>
      <c r="S720" s="75">
        <v>0.80400000000000005</v>
      </c>
      <c r="T720" s="105">
        <v>0.84599999999999997</v>
      </c>
      <c r="U720" s="104">
        <v>31.03</v>
      </c>
      <c r="V720" s="75">
        <v>31.07</v>
      </c>
      <c r="W720" s="75">
        <v>30.89</v>
      </c>
      <c r="X720" s="75">
        <v>1.407</v>
      </c>
      <c r="Y720" s="75">
        <v>1.4259999999999999</v>
      </c>
      <c r="Z720" s="105">
        <v>1.34</v>
      </c>
      <c r="AA720" s="104"/>
      <c r="AF720" s="105"/>
    </row>
    <row r="721" spans="2:32" x14ac:dyDescent="0.3">
      <c r="B721" s="111">
        <v>119.33333333333454</v>
      </c>
      <c r="C721" s="104"/>
      <c r="H721" s="105"/>
      <c r="I721" s="104"/>
      <c r="N721" s="105"/>
      <c r="O721" s="104">
        <v>31.22</v>
      </c>
      <c r="P721" s="75">
        <v>31.31</v>
      </c>
      <c r="Q721" s="75">
        <v>31.21</v>
      </c>
      <c r="R721" s="75">
        <v>1.3240000000000001</v>
      </c>
      <c r="S721" s="75">
        <v>0.79</v>
      </c>
      <c r="T721" s="105">
        <v>1.1259999999999999</v>
      </c>
      <c r="U721" s="104">
        <v>31.09</v>
      </c>
      <c r="V721" s="75">
        <v>31.15</v>
      </c>
      <c r="W721" s="75">
        <v>30.95</v>
      </c>
      <c r="X721" s="75">
        <v>1.4570000000000001</v>
      </c>
      <c r="Y721" s="75">
        <v>1.698</v>
      </c>
      <c r="Z721" s="105">
        <v>1.71</v>
      </c>
      <c r="AA721" s="104"/>
      <c r="AF721" s="105"/>
    </row>
    <row r="722" spans="2:32" x14ac:dyDescent="0.3">
      <c r="B722" s="111">
        <v>119.50000000000121</v>
      </c>
      <c r="C722" s="104"/>
      <c r="H722" s="105"/>
      <c r="I722" s="104"/>
      <c r="N722" s="105"/>
      <c r="O722" s="104">
        <v>31.32</v>
      </c>
      <c r="P722" s="75">
        <v>31.4</v>
      </c>
      <c r="Q722" s="75">
        <v>31.32</v>
      </c>
      <c r="R722" s="75">
        <v>1.274</v>
      </c>
      <c r="S722" s="75">
        <v>0.56899999999999995</v>
      </c>
      <c r="T722" s="105">
        <v>0.92800000000000005</v>
      </c>
      <c r="U722" s="104">
        <v>31.18</v>
      </c>
      <c r="V722" s="75">
        <v>31.23</v>
      </c>
      <c r="W722" s="75">
        <v>31.03</v>
      </c>
      <c r="X722" s="75">
        <v>2.3260000000000001</v>
      </c>
      <c r="Y722" s="75">
        <v>1.728</v>
      </c>
      <c r="Z722" s="105">
        <v>1.03</v>
      </c>
      <c r="AA722" s="104"/>
      <c r="AF722" s="105"/>
    </row>
    <row r="723" spans="2:32" x14ac:dyDescent="0.3">
      <c r="B723" s="111">
        <v>119.66666666666788</v>
      </c>
      <c r="C723" s="104"/>
      <c r="H723" s="105"/>
      <c r="I723" s="104"/>
      <c r="N723" s="105"/>
      <c r="O723" s="104">
        <v>31.41</v>
      </c>
      <c r="P723" s="75">
        <v>31.47</v>
      </c>
      <c r="Q723" s="75">
        <v>31.39</v>
      </c>
      <c r="R723" s="75">
        <v>1.4710000000000001</v>
      </c>
      <c r="S723" s="75">
        <v>0.873</v>
      </c>
      <c r="T723" s="105">
        <v>0.90600000000000003</v>
      </c>
      <c r="U723" s="104">
        <v>31.26</v>
      </c>
      <c r="V723" s="75">
        <v>31.3</v>
      </c>
      <c r="W723" s="75">
        <v>31.1</v>
      </c>
      <c r="X723" s="75">
        <v>2.0939999999999999</v>
      </c>
      <c r="Y723" s="75">
        <v>1.2490000000000001</v>
      </c>
      <c r="Z723" s="105">
        <v>0.99</v>
      </c>
      <c r="AA723" s="104"/>
      <c r="AF723" s="105"/>
    </row>
    <row r="724" spans="2:32" x14ac:dyDescent="0.3">
      <c r="B724" s="111">
        <v>119.83333333333455</v>
      </c>
      <c r="C724" s="104"/>
      <c r="H724" s="105"/>
      <c r="I724" s="104"/>
      <c r="N724" s="105"/>
      <c r="O724" s="104">
        <v>31.49</v>
      </c>
      <c r="P724" s="75">
        <v>31.54</v>
      </c>
      <c r="Q724" s="75">
        <v>31.48</v>
      </c>
      <c r="R724" s="75">
        <v>1.097</v>
      </c>
      <c r="S724" s="75">
        <v>0.68</v>
      </c>
      <c r="T724" s="105">
        <v>0.80300000000000005</v>
      </c>
      <c r="U724" s="104">
        <v>31.34</v>
      </c>
      <c r="V724" s="75">
        <v>31.37</v>
      </c>
      <c r="W724" s="75">
        <v>31.18</v>
      </c>
      <c r="X724" s="75">
        <v>2.1259999999999999</v>
      </c>
      <c r="Y724" s="75">
        <v>1.3069999999999999</v>
      </c>
      <c r="Z724" s="105">
        <v>1.2</v>
      </c>
      <c r="AA724" s="104"/>
      <c r="AF724" s="105"/>
    </row>
    <row r="725" spans="2:32" x14ac:dyDescent="0.3">
      <c r="B725" s="111">
        <v>120.00000000000122</v>
      </c>
      <c r="C725" s="104"/>
      <c r="H725" s="105"/>
      <c r="I725" s="104"/>
      <c r="N725" s="105"/>
      <c r="O725" s="104">
        <v>31.56</v>
      </c>
      <c r="P725" s="75">
        <v>31.62</v>
      </c>
      <c r="Q725" s="75">
        <v>31.56</v>
      </c>
      <c r="R725" s="75">
        <v>1.2110000000000001</v>
      </c>
      <c r="S725" s="75">
        <v>0.96599999999999997</v>
      </c>
      <c r="T725" s="105">
        <v>0.55100000000000005</v>
      </c>
      <c r="U725" s="104">
        <v>31.42</v>
      </c>
      <c r="V725" s="75">
        <v>31.44</v>
      </c>
      <c r="W725" s="75">
        <v>31.26</v>
      </c>
      <c r="X725" s="75">
        <v>1.6619999999999999</v>
      </c>
      <c r="Y725" s="75">
        <v>1.6379999999999999</v>
      </c>
      <c r="Z725" s="105">
        <v>1.59</v>
      </c>
      <c r="AA725" s="104"/>
      <c r="AF725" s="105"/>
    </row>
    <row r="726" spans="2:32" x14ac:dyDescent="0.3">
      <c r="B726" s="111">
        <v>120.16666666666789</v>
      </c>
      <c r="C726" s="104"/>
      <c r="H726" s="105"/>
      <c r="I726" s="104"/>
      <c r="N726" s="105"/>
      <c r="O726" s="104">
        <v>31.63</v>
      </c>
      <c r="P726" s="75">
        <v>31.7</v>
      </c>
      <c r="Q726" s="75">
        <v>31.62</v>
      </c>
      <c r="R726" s="75">
        <v>1.1859999999999999</v>
      </c>
      <c r="S726" s="75">
        <v>0.70899999999999996</v>
      </c>
      <c r="T726" s="105">
        <v>0.79</v>
      </c>
      <c r="U726" s="104">
        <v>31.47</v>
      </c>
      <c r="V726" s="75">
        <v>31.51</v>
      </c>
      <c r="W726" s="75">
        <v>31.32</v>
      </c>
      <c r="X726" s="75">
        <v>1.345</v>
      </c>
      <c r="Y726" s="75">
        <v>1.431</v>
      </c>
      <c r="Z726" s="105">
        <v>1.45</v>
      </c>
      <c r="AA726" s="104"/>
      <c r="AF726" s="105"/>
    </row>
    <row r="727" spans="2:32" x14ac:dyDescent="0.3">
      <c r="B727" s="111">
        <v>120.33333333333456</v>
      </c>
      <c r="C727" s="104"/>
      <c r="H727" s="105"/>
      <c r="I727" s="104"/>
      <c r="N727" s="105"/>
      <c r="O727" s="104">
        <v>31.7</v>
      </c>
      <c r="P727" s="75">
        <v>31.77</v>
      </c>
      <c r="Q727" s="75">
        <v>31.69</v>
      </c>
      <c r="R727" s="75">
        <v>1.304</v>
      </c>
      <c r="S727" s="75">
        <v>0.85599999999999998</v>
      </c>
      <c r="T727" s="105">
        <v>0.96799999999999997</v>
      </c>
      <c r="U727" s="104">
        <v>31.54</v>
      </c>
      <c r="V727" s="75">
        <v>31.58</v>
      </c>
      <c r="W727" s="75">
        <v>31.39</v>
      </c>
      <c r="X727" s="75">
        <v>1.6180000000000001</v>
      </c>
      <c r="Y727" s="75">
        <v>1.206</v>
      </c>
      <c r="Z727" s="105">
        <v>1.54</v>
      </c>
      <c r="AA727" s="104"/>
      <c r="AF727" s="105"/>
    </row>
    <row r="728" spans="2:32" x14ac:dyDescent="0.3">
      <c r="B728" s="111">
        <v>120.50000000000124</v>
      </c>
      <c r="C728" s="104"/>
      <c r="H728" s="105"/>
      <c r="I728" s="104"/>
      <c r="N728" s="105"/>
      <c r="O728" s="104">
        <v>31.77</v>
      </c>
      <c r="P728" s="75">
        <v>31.85</v>
      </c>
      <c r="Q728" s="75">
        <v>31.76</v>
      </c>
      <c r="R728" s="75">
        <v>1.2769999999999999</v>
      </c>
      <c r="S728" s="75">
        <v>0.63900000000000001</v>
      </c>
      <c r="T728" s="105">
        <v>0.95899999999999996</v>
      </c>
      <c r="U728" s="104">
        <v>31.61</v>
      </c>
      <c r="V728" s="75">
        <v>31.65</v>
      </c>
      <c r="W728" s="75">
        <v>31.46</v>
      </c>
      <c r="X728" s="75">
        <v>1.57</v>
      </c>
      <c r="Y728" s="75">
        <v>1.363</v>
      </c>
      <c r="Z728" s="105">
        <v>1.6</v>
      </c>
      <c r="AA728" s="104"/>
      <c r="AF728" s="105"/>
    </row>
    <row r="729" spans="2:32" x14ac:dyDescent="0.3">
      <c r="B729" s="111">
        <v>120.66666666666791</v>
      </c>
      <c r="C729" s="104"/>
      <c r="H729" s="105"/>
      <c r="I729" s="104"/>
      <c r="N729" s="105"/>
      <c r="O729" s="104">
        <v>31.84</v>
      </c>
      <c r="P729" s="75">
        <v>31.92</v>
      </c>
      <c r="Q729" s="75">
        <v>31.83</v>
      </c>
      <c r="R729" s="75">
        <v>1.2170000000000001</v>
      </c>
      <c r="S729" s="75">
        <v>0.81599999999999995</v>
      </c>
      <c r="T729" s="105">
        <v>0.79100000000000004</v>
      </c>
      <c r="U729" s="104">
        <v>31.67</v>
      </c>
      <c r="V729" s="75">
        <v>31.72</v>
      </c>
      <c r="W729" s="75">
        <v>31.52</v>
      </c>
      <c r="X729" s="75">
        <v>1.4350000000000001</v>
      </c>
      <c r="Y729" s="75">
        <v>1.359</v>
      </c>
      <c r="Z729" s="105">
        <v>1.37</v>
      </c>
      <c r="AA729" s="104"/>
      <c r="AF729" s="105"/>
    </row>
    <row r="730" spans="2:32" x14ac:dyDescent="0.3">
      <c r="B730" s="111">
        <v>120.83333333333458</v>
      </c>
      <c r="C730" s="104"/>
      <c r="H730" s="105"/>
      <c r="I730" s="104"/>
      <c r="N730" s="105"/>
      <c r="O730" s="104">
        <v>31.92</v>
      </c>
      <c r="P730" s="75">
        <v>31.99</v>
      </c>
      <c r="Q730" s="75">
        <v>31.9</v>
      </c>
      <c r="R730" s="75">
        <v>1.202</v>
      </c>
      <c r="S730" s="75">
        <v>0.68200000000000005</v>
      </c>
      <c r="T730" s="105">
        <v>0.91200000000000003</v>
      </c>
      <c r="U730" s="104">
        <v>31.75</v>
      </c>
      <c r="V730" s="75">
        <v>31.79</v>
      </c>
      <c r="W730" s="75">
        <v>31.58</v>
      </c>
      <c r="X730" s="75">
        <v>1.431</v>
      </c>
      <c r="Y730" s="75">
        <v>1.0589999999999999</v>
      </c>
      <c r="Z730" s="105">
        <v>1.26</v>
      </c>
      <c r="AA730" s="104"/>
      <c r="AF730" s="105"/>
    </row>
    <row r="731" spans="2:32" x14ac:dyDescent="0.3">
      <c r="B731" s="111">
        <v>121.00000000000125</v>
      </c>
      <c r="C731" s="104"/>
      <c r="H731" s="105"/>
      <c r="I731" s="104"/>
      <c r="N731" s="105"/>
      <c r="O731" s="104">
        <v>31.99</v>
      </c>
      <c r="P731" s="75">
        <v>32.049999999999997</v>
      </c>
      <c r="Q731" s="75">
        <v>31.97</v>
      </c>
      <c r="R731" s="75">
        <v>1.044</v>
      </c>
      <c r="S731" s="75">
        <v>0.91</v>
      </c>
      <c r="T731" s="105">
        <v>0.87</v>
      </c>
      <c r="U731" s="104">
        <v>31.81</v>
      </c>
      <c r="V731" s="75">
        <v>31.85</v>
      </c>
      <c r="W731" s="75">
        <v>31.65</v>
      </c>
      <c r="X731" s="75">
        <v>1.448</v>
      </c>
      <c r="Y731" s="75">
        <v>0.93100000000000005</v>
      </c>
      <c r="Z731" s="105">
        <v>1.43</v>
      </c>
      <c r="AA731" s="104"/>
      <c r="AF731" s="105"/>
    </row>
    <row r="732" spans="2:32" x14ac:dyDescent="0.3">
      <c r="B732" s="111">
        <v>121.16666666666792</v>
      </c>
      <c r="C732" s="104"/>
      <c r="H732" s="105"/>
      <c r="I732" s="104"/>
      <c r="N732" s="105"/>
      <c r="O732" s="104">
        <v>32.06</v>
      </c>
      <c r="P732" s="75">
        <v>32.130000000000003</v>
      </c>
      <c r="Q732" s="75">
        <v>32.04</v>
      </c>
      <c r="R732" s="75">
        <v>1.0629999999999999</v>
      </c>
      <c r="S732" s="75">
        <v>0.91400000000000003</v>
      </c>
      <c r="T732" s="105">
        <v>0.73699999999999999</v>
      </c>
      <c r="U732" s="104">
        <v>31.88</v>
      </c>
      <c r="V732" s="75">
        <v>31.91</v>
      </c>
      <c r="W732" s="75">
        <v>31.71</v>
      </c>
      <c r="X732" s="75">
        <v>1.4419999999999999</v>
      </c>
      <c r="Y732" s="75">
        <v>1.2609999999999999</v>
      </c>
      <c r="Z732" s="105">
        <v>1.37</v>
      </c>
      <c r="AA732" s="104"/>
      <c r="AF732" s="105"/>
    </row>
    <row r="733" spans="2:32" x14ac:dyDescent="0.3">
      <c r="B733" s="111">
        <v>121.33333333333459</v>
      </c>
      <c r="C733" s="104"/>
      <c r="H733" s="105"/>
      <c r="I733" s="104"/>
      <c r="N733" s="105"/>
      <c r="O733" s="104">
        <v>32.130000000000003</v>
      </c>
      <c r="P733" s="75">
        <v>32.19</v>
      </c>
      <c r="Q733" s="75">
        <v>32.1</v>
      </c>
      <c r="R733" s="75">
        <v>1.417</v>
      </c>
      <c r="S733" s="75">
        <v>0.63900000000000001</v>
      </c>
      <c r="T733" s="105">
        <v>0.81299999999999994</v>
      </c>
      <c r="U733" s="104">
        <v>31.94</v>
      </c>
      <c r="V733" s="75">
        <v>31.97</v>
      </c>
      <c r="W733" s="75">
        <v>31.77</v>
      </c>
      <c r="X733" s="75">
        <v>1.169</v>
      </c>
      <c r="Y733" s="75">
        <v>1.2030000000000001</v>
      </c>
      <c r="Z733" s="105">
        <v>1.37</v>
      </c>
      <c r="AA733" s="104"/>
      <c r="AF733" s="105"/>
    </row>
    <row r="734" spans="2:32" x14ac:dyDescent="0.3">
      <c r="B734" s="111">
        <v>121.50000000000126</v>
      </c>
      <c r="C734" s="104"/>
      <c r="H734" s="105"/>
      <c r="I734" s="104"/>
      <c r="N734" s="105"/>
      <c r="O734" s="104">
        <v>32.200000000000003</v>
      </c>
      <c r="P734" s="75">
        <v>32.270000000000003</v>
      </c>
      <c r="Q734" s="75">
        <v>32.17</v>
      </c>
      <c r="R734" s="75">
        <v>1.341</v>
      </c>
      <c r="S734" s="75">
        <v>0.82499999999999996</v>
      </c>
      <c r="T734" s="105">
        <v>0.71499999999999997</v>
      </c>
      <c r="U734" s="104">
        <v>32</v>
      </c>
      <c r="V734" s="75">
        <v>32.03</v>
      </c>
      <c r="W734" s="75">
        <v>31.83</v>
      </c>
      <c r="X734" s="75">
        <v>1.048</v>
      </c>
      <c r="Y734" s="75">
        <v>1.149</v>
      </c>
      <c r="Z734" s="105">
        <v>1.53</v>
      </c>
      <c r="AA734" s="104"/>
      <c r="AF734" s="105"/>
    </row>
    <row r="735" spans="2:32" x14ac:dyDescent="0.3">
      <c r="B735" s="111">
        <v>121.66666666666794</v>
      </c>
      <c r="C735" s="104"/>
      <c r="H735" s="105"/>
      <c r="I735" s="104"/>
      <c r="N735" s="105"/>
      <c r="O735" s="104">
        <v>32.270000000000003</v>
      </c>
      <c r="P735" s="75">
        <v>32.35</v>
      </c>
      <c r="Q735" s="75">
        <v>32.24</v>
      </c>
      <c r="R735" s="75">
        <v>1.335</v>
      </c>
      <c r="S735" s="75">
        <v>0.752</v>
      </c>
      <c r="T735" s="105">
        <v>0.77100000000000002</v>
      </c>
      <c r="U735" s="104">
        <v>32.06</v>
      </c>
      <c r="V735" s="75">
        <v>32.11</v>
      </c>
      <c r="W735" s="75">
        <v>31.89</v>
      </c>
      <c r="X735" s="75">
        <v>1.4239999999999999</v>
      </c>
      <c r="Y735" s="75">
        <v>1.4690000000000001</v>
      </c>
      <c r="Z735" s="105">
        <v>1.46</v>
      </c>
      <c r="AA735" s="104"/>
      <c r="AF735" s="105"/>
    </row>
    <row r="736" spans="2:32" x14ac:dyDescent="0.3">
      <c r="B736" s="111">
        <v>121.83333333333461</v>
      </c>
      <c r="C736" s="104"/>
      <c r="H736" s="105"/>
      <c r="I736" s="104"/>
      <c r="N736" s="105"/>
      <c r="O736" s="104">
        <v>32.35</v>
      </c>
      <c r="P736" s="75">
        <v>32.44</v>
      </c>
      <c r="Q736" s="75">
        <v>32.299999999999997</v>
      </c>
      <c r="R736" s="75">
        <v>1.2110000000000001</v>
      </c>
      <c r="S736" s="75">
        <v>0.84</v>
      </c>
      <c r="T736" s="105">
        <v>0.68799999999999994</v>
      </c>
      <c r="U736" s="104">
        <v>32.130000000000003</v>
      </c>
      <c r="V736" s="75">
        <v>32.19</v>
      </c>
      <c r="W736" s="75">
        <v>31.94</v>
      </c>
      <c r="X736" s="75">
        <v>1.423</v>
      </c>
      <c r="Y736" s="75">
        <v>1.4450000000000001</v>
      </c>
      <c r="Z736" s="105">
        <v>1.34</v>
      </c>
      <c r="AA736" s="104"/>
      <c r="AF736" s="105"/>
    </row>
    <row r="737" spans="2:32" x14ac:dyDescent="0.3">
      <c r="B737" s="111">
        <v>122.00000000000128</v>
      </c>
      <c r="C737" s="104"/>
      <c r="H737" s="105"/>
      <c r="I737" s="104"/>
      <c r="N737" s="105"/>
      <c r="O737" s="104">
        <v>32.43</v>
      </c>
      <c r="P737" s="75">
        <v>32.520000000000003</v>
      </c>
      <c r="Q737" s="75">
        <v>32.39</v>
      </c>
      <c r="R737" s="75">
        <v>1.302</v>
      </c>
      <c r="S737" s="75">
        <v>0.627</v>
      </c>
      <c r="T737" s="105">
        <v>0.97</v>
      </c>
      <c r="U737" s="104">
        <v>32.200000000000003</v>
      </c>
      <c r="V737" s="75">
        <v>32.26</v>
      </c>
      <c r="W737" s="75">
        <v>32.020000000000003</v>
      </c>
      <c r="X737" s="75">
        <v>1.4510000000000001</v>
      </c>
      <c r="Y737" s="75">
        <v>1.3260000000000001</v>
      </c>
      <c r="Z737" s="105">
        <v>1.44</v>
      </c>
      <c r="AA737" s="104"/>
      <c r="AF737" s="105"/>
    </row>
    <row r="738" spans="2:32" x14ac:dyDescent="0.3">
      <c r="B738" s="111">
        <v>122.16666666666795</v>
      </c>
      <c r="C738" s="104"/>
      <c r="H738" s="105"/>
      <c r="I738" s="104"/>
      <c r="N738" s="105"/>
      <c r="O738" s="104">
        <v>32.520000000000003</v>
      </c>
      <c r="P738" s="75">
        <v>32.6</v>
      </c>
      <c r="Q738" s="75">
        <v>32.479999999999997</v>
      </c>
      <c r="R738" s="75">
        <v>1.27</v>
      </c>
      <c r="S738" s="75">
        <v>0.77500000000000002</v>
      </c>
      <c r="T738" s="105">
        <v>0.90500000000000003</v>
      </c>
      <c r="U738" s="104">
        <v>32.28</v>
      </c>
      <c r="V738" s="75">
        <v>32.33</v>
      </c>
      <c r="W738" s="75">
        <v>32.1</v>
      </c>
      <c r="X738" s="75">
        <v>1.5309999999999999</v>
      </c>
      <c r="Y738" s="75">
        <v>1.0980000000000001</v>
      </c>
      <c r="Z738" s="105">
        <v>1.21</v>
      </c>
      <c r="AA738" s="104"/>
      <c r="AF738" s="105"/>
    </row>
    <row r="739" spans="2:32" x14ac:dyDescent="0.3">
      <c r="B739" s="111">
        <v>122.33333333333462</v>
      </c>
      <c r="C739" s="104"/>
      <c r="H739" s="105"/>
      <c r="I739" s="104"/>
      <c r="N739" s="105"/>
      <c r="O739" s="104">
        <v>32.61</v>
      </c>
      <c r="P739" s="75">
        <v>32.67</v>
      </c>
      <c r="Q739" s="75">
        <v>32.56</v>
      </c>
      <c r="R739" s="75">
        <v>1.1100000000000001</v>
      </c>
      <c r="S739" s="75">
        <v>0.90200000000000002</v>
      </c>
      <c r="T739" s="105">
        <v>0.93300000000000005</v>
      </c>
      <c r="U739" s="104">
        <v>32.35</v>
      </c>
      <c r="V739" s="75">
        <v>32.4</v>
      </c>
      <c r="W739" s="75">
        <v>32.18</v>
      </c>
      <c r="X739" s="75">
        <v>1.411</v>
      </c>
      <c r="Y739" s="75">
        <v>0.90800000000000003</v>
      </c>
      <c r="Z739" s="105">
        <v>1.83</v>
      </c>
      <c r="AA739" s="104"/>
      <c r="AF739" s="105"/>
    </row>
    <row r="740" spans="2:32" x14ac:dyDescent="0.3">
      <c r="B740" s="111">
        <v>122.50000000000129</v>
      </c>
      <c r="C740" s="104"/>
      <c r="H740" s="105"/>
      <c r="I740" s="104"/>
      <c r="N740" s="105"/>
      <c r="O740" s="104">
        <v>32.67</v>
      </c>
      <c r="P740" s="75">
        <v>32.74</v>
      </c>
      <c r="Q740" s="75">
        <v>32.64</v>
      </c>
      <c r="R740" s="75">
        <v>1.3169999999999999</v>
      </c>
      <c r="S740" s="75">
        <v>0.79900000000000004</v>
      </c>
      <c r="T740" s="105">
        <v>0.75800000000000001</v>
      </c>
      <c r="U740" s="104">
        <v>32.42</v>
      </c>
      <c r="V740" s="75">
        <v>32.47</v>
      </c>
      <c r="W740" s="75">
        <v>32.26</v>
      </c>
      <c r="X740" s="75">
        <v>1.3109999999999999</v>
      </c>
      <c r="Y740" s="75">
        <v>0.93700000000000006</v>
      </c>
      <c r="Z740" s="105">
        <v>1.36</v>
      </c>
      <c r="AA740" s="104"/>
      <c r="AF740" s="105"/>
    </row>
    <row r="741" spans="2:32" x14ac:dyDescent="0.3">
      <c r="B741" s="111">
        <v>122.66666666666796</v>
      </c>
      <c r="C741" s="104"/>
      <c r="H741" s="105"/>
      <c r="I741" s="104"/>
      <c r="N741" s="105"/>
      <c r="O741" s="104">
        <v>32.75</v>
      </c>
      <c r="P741" s="75">
        <v>32.81</v>
      </c>
      <c r="Q741" s="75">
        <v>32.729999999999997</v>
      </c>
      <c r="R741" s="75">
        <v>1.208</v>
      </c>
      <c r="S741" s="75">
        <v>0.67700000000000005</v>
      </c>
      <c r="T741" s="105">
        <v>0.94899999999999995</v>
      </c>
      <c r="U741" s="104">
        <v>32.479999999999997</v>
      </c>
      <c r="V741" s="75">
        <v>32.53</v>
      </c>
      <c r="W741" s="75">
        <v>32.33</v>
      </c>
      <c r="X741" s="75">
        <v>1.159</v>
      </c>
      <c r="Y741" s="75">
        <v>0.86899999999999999</v>
      </c>
      <c r="Z741" s="105">
        <v>1.44</v>
      </c>
      <c r="AA741" s="104"/>
      <c r="AF741" s="105"/>
    </row>
    <row r="742" spans="2:32" x14ac:dyDescent="0.3">
      <c r="B742" s="111">
        <v>122.83333333333464</v>
      </c>
      <c r="C742" s="104"/>
      <c r="H742" s="105"/>
      <c r="I742" s="104"/>
      <c r="N742" s="105"/>
      <c r="O742" s="104">
        <v>32.82</v>
      </c>
      <c r="P742" s="75">
        <v>33.93</v>
      </c>
      <c r="Q742" s="75">
        <v>32.799999999999997</v>
      </c>
      <c r="R742" s="75">
        <v>1.2350000000000001</v>
      </c>
      <c r="S742" s="75">
        <v>0.71399999999999997</v>
      </c>
      <c r="T742" s="105">
        <v>0.82899999999999996</v>
      </c>
      <c r="U742" s="104">
        <v>32.549999999999997</v>
      </c>
      <c r="V742" s="75">
        <v>33.43</v>
      </c>
      <c r="W742" s="75">
        <v>32.409999999999997</v>
      </c>
      <c r="X742" s="75">
        <v>1.105</v>
      </c>
      <c r="Y742" s="75">
        <v>0.65700000000000003</v>
      </c>
      <c r="Z742" s="105">
        <v>1.3480000000000001</v>
      </c>
      <c r="AA742" s="104"/>
      <c r="AF742" s="105"/>
    </row>
    <row r="743" spans="2:32" x14ac:dyDescent="0.3">
      <c r="B743" s="111">
        <v>123.00000000000131</v>
      </c>
      <c r="C743" s="104"/>
      <c r="H743" s="105"/>
      <c r="I743" s="104"/>
      <c r="N743" s="105"/>
      <c r="O743" s="104">
        <v>34.01</v>
      </c>
      <c r="P743" s="75">
        <v>35.1</v>
      </c>
      <c r="Q743" s="75">
        <v>34.6</v>
      </c>
      <c r="R743" s="75">
        <v>1.3260000000000001</v>
      </c>
      <c r="S743" s="75">
        <v>0.93100000000000005</v>
      </c>
      <c r="T743" s="105">
        <v>0.72799999999999998</v>
      </c>
      <c r="U743" s="104">
        <v>33.520000000000003</v>
      </c>
      <c r="V743" s="75">
        <v>34.51</v>
      </c>
      <c r="W743" s="75">
        <v>33.96</v>
      </c>
      <c r="X743" s="75">
        <v>0.95199999999999996</v>
      </c>
      <c r="Y743" s="75">
        <v>0.60299999999999998</v>
      </c>
      <c r="Z743" s="105">
        <v>1.496</v>
      </c>
      <c r="AA743" s="104"/>
      <c r="AF743" s="105"/>
    </row>
    <row r="744" spans="2:32" x14ac:dyDescent="0.3">
      <c r="B744" s="111">
        <v>123.16666666666798</v>
      </c>
      <c r="C744" s="104"/>
      <c r="H744" s="105"/>
      <c r="I744" s="104"/>
      <c r="N744" s="105"/>
      <c r="O744" s="104">
        <v>35.340000000000003</v>
      </c>
      <c r="P744" s="75">
        <v>35.549999999999997</v>
      </c>
      <c r="Q744" s="75">
        <v>35.520000000000003</v>
      </c>
      <c r="R744" s="75">
        <v>1.145</v>
      </c>
      <c r="S744" s="75">
        <v>0.79900000000000004</v>
      </c>
      <c r="T744" s="105">
        <v>0.59899999999999998</v>
      </c>
      <c r="U744" s="104">
        <v>34.82</v>
      </c>
      <c r="V744" s="75">
        <v>35.049999999999997</v>
      </c>
      <c r="W744" s="75">
        <v>34.96</v>
      </c>
      <c r="X744" s="75">
        <v>0.58499999999999996</v>
      </c>
      <c r="Y744" s="75">
        <v>0.76400000000000001</v>
      </c>
      <c r="Z744" s="105">
        <v>0.86399999999999999</v>
      </c>
      <c r="AA744" s="104"/>
      <c r="AF744" s="105"/>
    </row>
    <row r="745" spans="2:32" x14ac:dyDescent="0.3">
      <c r="B745" s="111">
        <v>123.33333333333465</v>
      </c>
      <c r="C745" s="104"/>
      <c r="H745" s="105"/>
      <c r="I745" s="104"/>
      <c r="N745" s="105"/>
      <c r="O745" s="104">
        <v>35.93</v>
      </c>
      <c r="P745" s="75">
        <v>35.93</v>
      </c>
      <c r="Q745" s="75">
        <v>35.78</v>
      </c>
      <c r="R745" s="75">
        <v>1.032</v>
      </c>
      <c r="S745" s="75">
        <v>0.46800000000000003</v>
      </c>
      <c r="T745" s="105">
        <v>0.59499999999999997</v>
      </c>
      <c r="U745" s="104">
        <v>35.49</v>
      </c>
      <c r="V745" s="75">
        <v>35.46</v>
      </c>
      <c r="W745" s="75">
        <v>35.28</v>
      </c>
      <c r="X745" s="75">
        <v>0.47099999999999997</v>
      </c>
      <c r="Y745" s="75">
        <v>0.46100000000000002</v>
      </c>
      <c r="Z745" s="105">
        <v>0.61899999999999999</v>
      </c>
      <c r="AA745" s="104"/>
      <c r="AF745" s="105"/>
    </row>
    <row r="746" spans="2:32" x14ac:dyDescent="0.3">
      <c r="B746" s="111">
        <v>123.50000000000132</v>
      </c>
      <c r="C746" s="104"/>
      <c r="H746" s="105"/>
      <c r="I746" s="104"/>
      <c r="N746" s="105"/>
      <c r="O746" s="104">
        <v>35.85</v>
      </c>
      <c r="P746" s="75">
        <v>35.950000000000003</v>
      </c>
      <c r="Q746" s="75">
        <v>35.770000000000003</v>
      </c>
      <c r="R746" s="75">
        <v>0.94799999999999995</v>
      </c>
      <c r="S746" s="75">
        <v>0.51800000000000002</v>
      </c>
      <c r="T746" s="105">
        <v>0.23300000000000001</v>
      </c>
      <c r="U746" s="104">
        <v>35.86</v>
      </c>
      <c r="V746" s="75">
        <v>35.83</v>
      </c>
      <c r="W746" s="75">
        <v>35.54</v>
      </c>
      <c r="X746" s="75">
        <v>0.54600000000000004</v>
      </c>
      <c r="Y746" s="75">
        <v>0.56699999999999995</v>
      </c>
      <c r="Z746" s="105">
        <v>0.82499999999999996</v>
      </c>
      <c r="AA746" s="104"/>
      <c r="AF746" s="105"/>
    </row>
    <row r="747" spans="2:32" x14ac:dyDescent="0.3">
      <c r="B747" s="111">
        <v>123.66666666666799</v>
      </c>
      <c r="C747" s="104"/>
      <c r="H747" s="105"/>
      <c r="I747" s="104"/>
      <c r="N747" s="105"/>
      <c r="O747" s="104">
        <v>35.93</v>
      </c>
      <c r="P747" s="75">
        <v>35.89</v>
      </c>
      <c r="Q747" s="75">
        <v>35.799999999999997</v>
      </c>
      <c r="R747" s="75">
        <v>0.71099999999999997</v>
      </c>
      <c r="S747" s="75">
        <v>0.40899999999999997</v>
      </c>
      <c r="T747" s="105">
        <v>0.14699999999999999</v>
      </c>
      <c r="U747" s="104">
        <v>36.18</v>
      </c>
      <c r="V747" s="75">
        <v>36.14</v>
      </c>
      <c r="W747" s="75">
        <v>35.799999999999997</v>
      </c>
      <c r="X747" s="75">
        <v>-0.05</v>
      </c>
      <c r="Y747" s="75">
        <v>0.56499999999999995</v>
      </c>
      <c r="Z747" s="105">
        <v>0.47199999999999998</v>
      </c>
      <c r="AA747" s="104"/>
      <c r="AF747" s="105"/>
    </row>
    <row r="748" spans="2:32" x14ac:dyDescent="0.3">
      <c r="B748" s="111">
        <v>123.83333333333466</v>
      </c>
      <c r="C748" s="104"/>
      <c r="H748" s="105"/>
      <c r="I748" s="104"/>
      <c r="N748" s="105"/>
      <c r="O748" s="104">
        <v>35.869999999999997</v>
      </c>
      <c r="P748" s="75">
        <v>35.869999999999997</v>
      </c>
      <c r="Q748" s="75">
        <v>35.81</v>
      </c>
      <c r="R748" s="75">
        <v>0.433</v>
      </c>
      <c r="S748" s="75">
        <v>0.30199999999999999</v>
      </c>
      <c r="T748" s="105">
        <v>0.191</v>
      </c>
      <c r="U748" s="104">
        <v>36.46</v>
      </c>
      <c r="V748" s="75">
        <v>36.42</v>
      </c>
      <c r="W748" s="75">
        <v>36.020000000000003</v>
      </c>
      <c r="X748" s="75">
        <v>-0.151</v>
      </c>
      <c r="Y748" s="75">
        <v>0.50900000000000001</v>
      </c>
      <c r="Z748" s="105">
        <v>0.23300000000000001</v>
      </c>
      <c r="AA748" s="104"/>
      <c r="AF748" s="105"/>
    </row>
    <row r="749" spans="2:32" x14ac:dyDescent="0.3">
      <c r="B749" s="111">
        <v>124.00000000000134</v>
      </c>
      <c r="C749" s="104"/>
      <c r="H749" s="105"/>
      <c r="I749" s="104"/>
      <c r="N749" s="105"/>
      <c r="O749" s="104">
        <v>35.909999999999997</v>
      </c>
      <c r="P749" s="75">
        <v>35.86</v>
      </c>
      <c r="Q749" s="75">
        <v>35.74</v>
      </c>
      <c r="R749" s="75">
        <v>0.27200000000000002</v>
      </c>
      <c r="S749" s="75">
        <v>0.20100000000000001</v>
      </c>
      <c r="T749" s="105">
        <v>8.3000000000000004E-2</v>
      </c>
      <c r="U749" s="104">
        <v>36.72</v>
      </c>
      <c r="V749" s="75">
        <v>36.659999999999997</v>
      </c>
      <c r="W749" s="75">
        <v>36.229999999999997</v>
      </c>
      <c r="X749" s="75">
        <v>-0.32200000000000001</v>
      </c>
      <c r="Y749" s="75">
        <v>0.61199999999999999</v>
      </c>
      <c r="Z749" s="105">
        <v>0.27900000000000003</v>
      </c>
      <c r="AA749" s="104"/>
      <c r="AF749" s="105"/>
    </row>
    <row r="750" spans="2:32" x14ac:dyDescent="0.3">
      <c r="B750" s="111">
        <v>124.16666666666801</v>
      </c>
      <c r="C750" s="104"/>
      <c r="H750" s="105"/>
      <c r="I750" s="104"/>
      <c r="N750" s="105"/>
      <c r="O750" s="104">
        <v>35.86</v>
      </c>
      <c r="P750" s="75">
        <v>35.82</v>
      </c>
      <c r="Q750" s="75">
        <v>35.68</v>
      </c>
      <c r="R750" s="75">
        <v>5.8000000000000003E-2</v>
      </c>
      <c r="S750" s="75">
        <v>1.7999999999999999E-2</v>
      </c>
      <c r="T750" s="105">
        <v>-0.106</v>
      </c>
      <c r="U750" s="104">
        <v>36.96</v>
      </c>
      <c r="V750" s="75">
        <v>36.89</v>
      </c>
      <c r="W750" s="75">
        <v>36.43</v>
      </c>
      <c r="X750" s="75">
        <v>-0.38700000000000001</v>
      </c>
      <c r="Y750" s="75">
        <v>-0.30499999999999999</v>
      </c>
      <c r="Z750" s="105">
        <v>0.159</v>
      </c>
      <c r="AA750" s="104"/>
      <c r="AF750" s="105"/>
    </row>
    <row r="751" spans="2:32" x14ac:dyDescent="0.3">
      <c r="B751" s="111">
        <v>124.33333333333468</v>
      </c>
      <c r="C751" s="104"/>
      <c r="H751" s="105"/>
      <c r="I751" s="104"/>
      <c r="N751" s="105"/>
      <c r="O751" s="104">
        <v>35.909999999999997</v>
      </c>
      <c r="P751" s="75">
        <v>35.799999999999997</v>
      </c>
      <c r="Q751" s="75">
        <v>35.78</v>
      </c>
      <c r="R751" s="75">
        <v>0.185</v>
      </c>
      <c r="S751" s="75">
        <v>-0.107</v>
      </c>
      <c r="T751" s="105">
        <v>0.03</v>
      </c>
      <c r="U751" s="104">
        <v>37.19</v>
      </c>
      <c r="V751" s="75">
        <v>37.119999999999997</v>
      </c>
      <c r="W751" s="75">
        <v>36.630000000000003</v>
      </c>
      <c r="X751" s="75">
        <v>-0.51</v>
      </c>
      <c r="Y751" s="75">
        <v>0.2</v>
      </c>
      <c r="Z751" s="105">
        <v>-0.35699999999999998</v>
      </c>
      <c r="AA751" s="104"/>
      <c r="AF751" s="105"/>
    </row>
    <row r="752" spans="2:32" x14ac:dyDescent="0.3">
      <c r="B752" s="111">
        <v>124.50000000000135</v>
      </c>
      <c r="C752" s="104"/>
      <c r="H752" s="105"/>
      <c r="I752" s="104"/>
      <c r="N752" s="105"/>
      <c r="O752" s="104">
        <v>35.880000000000003</v>
      </c>
      <c r="P752" s="75">
        <v>35.869999999999997</v>
      </c>
      <c r="Q752" s="75">
        <v>35.79</v>
      </c>
      <c r="R752" s="75">
        <v>0.06</v>
      </c>
      <c r="S752" s="75">
        <v>-0.05</v>
      </c>
      <c r="T752" s="105">
        <v>4.0000000000000001E-3</v>
      </c>
      <c r="U752" s="104">
        <v>37.43</v>
      </c>
      <c r="V752" s="75">
        <v>37.35</v>
      </c>
      <c r="W752" s="75">
        <v>36.83</v>
      </c>
      <c r="X752" s="75">
        <v>-0.53700000000000003</v>
      </c>
      <c r="Y752" s="75">
        <v>0.40300000000000002</v>
      </c>
      <c r="Z752" s="105">
        <v>-0.38400000000000001</v>
      </c>
      <c r="AA752" s="104"/>
      <c r="AF752" s="105"/>
    </row>
    <row r="753" spans="2:32" x14ac:dyDescent="0.3">
      <c r="B753" s="111">
        <v>124.66666666666802</v>
      </c>
      <c r="C753" s="104"/>
      <c r="H753" s="105"/>
      <c r="I753" s="104"/>
      <c r="N753" s="105"/>
      <c r="O753" s="104">
        <v>35.78</v>
      </c>
      <c r="P753" s="75">
        <v>35.770000000000003</v>
      </c>
      <c r="Q753" s="75">
        <v>35.76</v>
      </c>
      <c r="R753" s="75">
        <v>0.219</v>
      </c>
      <c r="S753" s="75">
        <v>-0.127</v>
      </c>
      <c r="T753" s="105">
        <v>0.16500000000000001</v>
      </c>
      <c r="U753" s="104">
        <v>37.67</v>
      </c>
      <c r="V753" s="75">
        <v>37.590000000000003</v>
      </c>
      <c r="W753" s="75">
        <v>37.03</v>
      </c>
      <c r="X753" s="75">
        <v>-0.27</v>
      </c>
      <c r="Y753" s="75">
        <v>0.35099999999999998</v>
      </c>
      <c r="Z753" s="105">
        <v>-0.224</v>
      </c>
      <c r="AA753" s="104"/>
      <c r="AF753" s="105"/>
    </row>
    <row r="754" spans="2:32" x14ac:dyDescent="0.3">
      <c r="B754" s="111">
        <v>124.83333333333469</v>
      </c>
      <c r="C754" s="104"/>
      <c r="H754" s="105"/>
      <c r="I754" s="104"/>
      <c r="N754" s="105"/>
      <c r="O754" s="104">
        <v>35.79</v>
      </c>
      <c r="P754" s="75">
        <v>35.76</v>
      </c>
      <c r="Q754" s="75">
        <v>35.69</v>
      </c>
      <c r="R754" s="75">
        <v>8.8999999999999996E-2</v>
      </c>
      <c r="S754" s="75">
        <v>6.3E-2</v>
      </c>
      <c r="T754" s="105">
        <v>1.2999999999999999E-2</v>
      </c>
      <c r="U754" s="104">
        <v>37.659999999999997</v>
      </c>
      <c r="V754" s="75">
        <v>37.659999999999997</v>
      </c>
      <c r="W754" s="75">
        <v>37.01</v>
      </c>
      <c r="X754" s="75">
        <v>-0.41099999999999998</v>
      </c>
      <c r="Y754" s="75">
        <v>0.218</v>
      </c>
      <c r="Z754" s="105">
        <v>-0.184</v>
      </c>
      <c r="AA754" s="104"/>
      <c r="AF754" s="105"/>
    </row>
    <row r="755" spans="2:32" x14ac:dyDescent="0.3">
      <c r="B755" s="111">
        <v>125.00000000000136</v>
      </c>
      <c r="C755" s="104"/>
      <c r="H755" s="105"/>
      <c r="I755" s="104"/>
      <c r="N755" s="105"/>
      <c r="O755" s="104">
        <v>35.78</v>
      </c>
      <c r="P755" s="75">
        <v>35.74</v>
      </c>
      <c r="Q755" s="75">
        <v>35.72</v>
      </c>
      <c r="R755" s="75">
        <v>8.0000000000000002E-3</v>
      </c>
      <c r="S755" s="75">
        <v>0.107</v>
      </c>
      <c r="T755" s="105">
        <v>-4.4999999999999998E-2</v>
      </c>
      <c r="U755" s="104">
        <v>37.619999999999997</v>
      </c>
      <c r="V755" s="75">
        <v>37.56</v>
      </c>
      <c r="W755" s="75">
        <v>37</v>
      </c>
      <c r="X755" s="75">
        <v>-0.05</v>
      </c>
      <c r="Y755" s="75">
        <v>0.26300000000000001</v>
      </c>
      <c r="Z755" s="105">
        <v>-0.17599999999999999</v>
      </c>
      <c r="AA755" s="104"/>
      <c r="AF755" s="105"/>
    </row>
    <row r="756" spans="2:32" x14ac:dyDescent="0.3">
      <c r="B756" s="111">
        <v>125.16666666666804</v>
      </c>
      <c r="C756" s="104"/>
      <c r="H756" s="105"/>
      <c r="I756" s="104"/>
      <c r="N756" s="105"/>
      <c r="O756" s="104">
        <v>35.71</v>
      </c>
      <c r="P756" s="75">
        <v>35.74</v>
      </c>
      <c r="Q756" s="75">
        <v>35.69</v>
      </c>
      <c r="R756" s="75">
        <v>-4.3999999999999997E-2</v>
      </c>
      <c r="S756" s="75">
        <v>-0.155</v>
      </c>
      <c r="T756" s="105">
        <v>-0.193</v>
      </c>
      <c r="U756" s="104">
        <v>37.659999999999997</v>
      </c>
      <c r="V756" s="75">
        <v>37.61</v>
      </c>
      <c r="W756" s="75">
        <v>37</v>
      </c>
      <c r="X756" s="75">
        <v>-0.376</v>
      </c>
      <c r="Y756" s="75">
        <v>0.14099999999999999</v>
      </c>
      <c r="Z756" s="105">
        <v>-3.3000000000000002E-2</v>
      </c>
      <c r="AA756" s="104"/>
      <c r="AF756" s="105"/>
    </row>
    <row r="757" spans="2:32" x14ac:dyDescent="0.3">
      <c r="B757" s="111">
        <v>125.33333333333471</v>
      </c>
      <c r="C757" s="104"/>
      <c r="H757" s="105"/>
      <c r="I757" s="104"/>
      <c r="N757" s="105"/>
      <c r="O757" s="104">
        <v>35.75</v>
      </c>
      <c r="P757" s="75">
        <v>35.74</v>
      </c>
      <c r="Q757" s="75">
        <v>35.770000000000003</v>
      </c>
      <c r="R757" s="75">
        <v>0.193</v>
      </c>
      <c r="S757" s="75">
        <v>2.5999999999999999E-2</v>
      </c>
      <c r="T757" s="105">
        <v>-0.04</v>
      </c>
      <c r="U757" s="104">
        <v>37.630000000000003</v>
      </c>
      <c r="V757" s="75">
        <v>37.54</v>
      </c>
      <c r="W757" s="75">
        <v>37.08</v>
      </c>
      <c r="X757" s="75">
        <v>-0.30599999999999999</v>
      </c>
      <c r="Y757" s="75">
        <v>0.123</v>
      </c>
      <c r="Z757" s="105">
        <v>-0.32100000000000001</v>
      </c>
      <c r="AA757" s="104"/>
      <c r="AF757" s="105"/>
    </row>
    <row r="758" spans="2:32" x14ac:dyDescent="0.3">
      <c r="B758" s="111">
        <v>125.50000000000138</v>
      </c>
      <c r="C758" s="104"/>
      <c r="H758" s="105"/>
      <c r="I758" s="104"/>
      <c r="N758" s="105"/>
      <c r="O758" s="104">
        <v>35.75</v>
      </c>
      <c r="P758" s="75">
        <v>35.659999999999997</v>
      </c>
      <c r="Q758" s="75">
        <v>35.69</v>
      </c>
      <c r="R758" s="75">
        <v>0.10299999999999999</v>
      </c>
      <c r="S758" s="75">
        <v>-9.0999999999999998E-2</v>
      </c>
      <c r="T758" s="105">
        <v>-0.11899999999999999</v>
      </c>
      <c r="U758" s="104">
        <v>37.69</v>
      </c>
      <c r="V758" s="75">
        <v>37.53</v>
      </c>
      <c r="W758" s="75">
        <v>37.08</v>
      </c>
      <c r="X758" s="75">
        <v>-0.36499999999999999</v>
      </c>
      <c r="Y758" s="75">
        <v>7.4999999999999997E-2</v>
      </c>
      <c r="Z758" s="105">
        <v>-0.14399999999999999</v>
      </c>
      <c r="AA758" s="104"/>
      <c r="AF758" s="105"/>
    </row>
    <row r="759" spans="2:32" x14ac:dyDescent="0.3">
      <c r="B759" s="111">
        <v>125.66666666666805</v>
      </c>
      <c r="C759" s="104"/>
      <c r="H759" s="105"/>
      <c r="I759" s="104"/>
      <c r="N759" s="105"/>
      <c r="O759" s="104">
        <v>35.81</v>
      </c>
      <c r="P759" s="75">
        <v>35.65</v>
      </c>
      <c r="Q759" s="75">
        <v>35.700000000000003</v>
      </c>
      <c r="R759" s="75">
        <v>0.23300000000000001</v>
      </c>
      <c r="S759" s="75">
        <v>5.8999999999999997E-2</v>
      </c>
      <c r="T759" s="105">
        <v>-0.185</v>
      </c>
      <c r="U759" s="104">
        <v>37.74</v>
      </c>
      <c r="V759" s="75">
        <v>37.64</v>
      </c>
      <c r="W759" s="75">
        <v>37.020000000000003</v>
      </c>
      <c r="X759" s="75">
        <v>-0.60699999999999998</v>
      </c>
      <c r="Y759" s="75">
        <v>0.439</v>
      </c>
      <c r="Z759" s="105">
        <v>6.0999999999999999E-2</v>
      </c>
      <c r="AA759" s="104"/>
      <c r="AF759" s="105"/>
    </row>
    <row r="760" spans="2:32" x14ac:dyDescent="0.3">
      <c r="B760" s="111">
        <v>125.83333333333472</v>
      </c>
      <c r="C760" s="104"/>
      <c r="H760" s="105"/>
      <c r="I760" s="104"/>
      <c r="N760" s="105"/>
      <c r="O760" s="104">
        <v>35.69</v>
      </c>
      <c r="P760" s="75">
        <v>35.65</v>
      </c>
      <c r="Q760" s="75">
        <v>35.65</v>
      </c>
      <c r="R760" s="75">
        <v>0.42399999999999999</v>
      </c>
      <c r="S760" s="75">
        <v>4.9000000000000002E-2</v>
      </c>
      <c r="T760" s="105">
        <v>0</v>
      </c>
      <c r="U760" s="104">
        <v>37.6</v>
      </c>
      <c r="V760" s="75">
        <v>37.61</v>
      </c>
      <c r="W760" s="75">
        <v>37.06</v>
      </c>
      <c r="X760" s="75">
        <v>-0.65600000000000003</v>
      </c>
      <c r="Y760" s="75">
        <v>0.33500000000000002</v>
      </c>
      <c r="Z760" s="105">
        <v>9.6000000000000002E-2</v>
      </c>
      <c r="AA760" s="104"/>
      <c r="AF760" s="105"/>
    </row>
    <row r="761" spans="2:32" x14ac:dyDescent="0.3">
      <c r="B761" s="112">
        <v>126.00000000000139</v>
      </c>
      <c r="C761" s="106"/>
      <c r="D761" s="78"/>
      <c r="E761" s="78"/>
      <c r="F761" s="78"/>
      <c r="G761" s="78"/>
      <c r="H761" s="107"/>
      <c r="I761" s="106"/>
      <c r="J761" s="78"/>
      <c r="K761" s="78"/>
      <c r="L761" s="78"/>
      <c r="M761" s="78"/>
      <c r="N761" s="107"/>
      <c r="O761" s="106">
        <v>35.700000000000003</v>
      </c>
      <c r="P761" s="78">
        <v>35.61</v>
      </c>
      <c r="Q761" s="78">
        <v>35.64</v>
      </c>
      <c r="R761" s="78">
        <v>0.188</v>
      </c>
      <c r="S761" s="78">
        <v>8.0000000000000002E-3</v>
      </c>
      <c r="T761" s="107">
        <v>-0.26500000000000001</v>
      </c>
      <c r="U761" s="106">
        <v>37.64</v>
      </c>
      <c r="V761" s="78">
        <v>37.549999999999997</v>
      </c>
      <c r="W761" s="78">
        <v>37.07</v>
      </c>
      <c r="X761" s="78">
        <v>-0.54300000000000004</v>
      </c>
      <c r="Y761" s="78">
        <v>0.32900000000000001</v>
      </c>
      <c r="Z761" s="107">
        <v>-0.58699999999999997</v>
      </c>
      <c r="AA761" s="106"/>
      <c r="AB761" s="78"/>
      <c r="AC761" s="78"/>
      <c r="AD761" s="78"/>
      <c r="AE761" s="78"/>
      <c r="AF761" s="107"/>
    </row>
  </sheetData>
  <mergeCells count="15">
    <mergeCell ref="R3:T3"/>
    <mergeCell ref="U3:W3"/>
    <mergeCell ref="X3:Z3"/>
    <mergeCell ref="AA3:AC3"/>
    <mergeCell ref="AD3:AF3"/>
    <mergeCell ref="C2:H2"/>
    <mergeCell ref="I2:N2"/>
    <mergeCell ref="O2:T2"/>
    <mergeCell ref="U2:Z2"/>
    <mergeCell ref="AA2:AF2"/>
    <mergeCell ref="C3:E3"/>
    <mergeCell ref="F3:H3"/>
    <mergeCell ref="I3:K3"/>
    <mergeCell ref="L3:N3"/>
    <mergeCell ref="O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8DDB-ADF3-4168-822E-A8ED865D7640}">
  <dimension ref="A1:AF25"/>
  <sheetViews>
    <sheetView zoomScaleNormal="100" workbookViewId="0">
      <selection activeCell="B25" sqref="B25"/>
    </sheetView>
  </sheetViews>
  <sheetFormatPr baseColWidth="10" defaultRowHeight="14.4" x14ac:dyDescent="0.3"/>
  <cols>
    <col min="1" max="1" width="30.33203125" customWidth="1"/>
    <col min="2" max="2" width="10.33203125" customWidth="1"/>
    <col min="3" max="32" width="11.5546875" style="75"/>
  </cols>
  <sheetData>
    <row r="1" spans="1:32" x14ac:dyDescent="0.3">
      <c r="C1" s="75" t="s">
        <v>65</v>
      </c>
    </row>
    <row r="2" spans="1:32" x14ac:dyDescent="0.3">
      <c r="A2" s="115" t="s">
        <v>66</v>
      </c>
      <c r="B2" s="116"/>
      <c r="C2" s="117" t="s">
        <v>67</v>
      </c>
      <c r="D2" s="118"/>
      <c r="E2" s="118"/>
      <c r="F2" s="118"/>
      <c r="G2" s="118"/>
      <c r="H2" s="119"/>
      <c r="I2" s="117" t="s">
        <v>68</v>
      </c>
      <c r="J2" s="118"/>
      <c r="K2" s="118"/>
      <c r="L2" s="118"/>
      <c r="M2" s="118"/>
      <c r="N2" s="119"/>
      <c r="O2" s="117" t="s">
        <v>69</v>
      </c>
      <c r="P2" s="118"/>
      <c r="Q2" s="118"/>
      <c r="R2" s="118"/>
      <c r="S2" s="118"/>
      <c r="T2" s="119"/>
      <c r="U2" s="117" t="s">
        <v>70</v>
      </c>
      <c r="V2" s="118"/>
      <c r="W2" s="118"/>
      <c r="X2" s="118"/>
      <c r="Y2" s="118"/>
      <c r="Z2" s="119"/>
      <c r="AA2" s="117" t="s">
        <v>71</v>
      </c>
      <c r="AB2" s="118"/>
      <c r="AC2" s="118"/>
      <c r="AD2" s="118"/>
      <c r="AE2" s="118"/>
      <c r="AF2" s="119"/>
    </row>
    <row r="3" spans="1:32" x14ac:dyDescent="0.3">
      <c r="A3" s="115"/>
      <c r="B3" s="116"/>
      <c r="C3" s="120" t="s">
        <v>72</v>
      </c>
      <c r="D3" s="121"/>
      <c r="E3" s="122" t="s">
        <v>73</v>
      </c>
      <c r="F3" s="121"/>
      <c r="G3" s="122" t="s">
        <v>74</v>
      </c>
      <c r="H3" s="123"/>
      <c r="I3" s="120" t="s">
        <v>72</v>
      </c>
      <c r="J3" s="122"/>
      <c r="K3" s="124" t="s">
        <v>73</v>
      </c>
      <c r="L3" s="121"/>
      <c r="M3" s="122" t="s">
        <v>74</v>
      </c>
      <c r="N3" s="123"/>
      <c r="O3" s="120" t="s">
        <v>72</v>
      </c>
      <c r="P3" s="122"/>
      <c r="Q3" s="124" t="s">
        <v>73</v>
      </c>
      <c r="R3" s="121"/>
      <c r="S3" s="122" t="s">
        <v>74</v>
      </c>
      <c r="T3" s="123"/>
      <c r="U3" s="120" t="s">
        <v>72</v>
      </c>
      <c r="V3" s="122"/>
      <c r="W3" s="124" t="s">
        <v>73</v>
      </c>
      <c r="X3" s="121"/>
      <c r="Y3" s="122" t="s">
        <v>74</v>
      </c>
      <c r="Z3" s="123"/>
      <c r="AA3" s="120" t="s">
        <v>72</v>
      </c>
      <c r="AB3" s="122"/>
      <c r="AC3" s="124" t="s">
        <v>73</v>
      </c>
      <c r="AD3" s="121"/>
      <c r="AE3" s="122" t="s">
        <v>74</v>
      </c>
      <c r="AF3" s="123"/>
    </row>
    <row r="4" spans="1:32" ht="16.2" x14ac:dyDescent="0.3">
      <c r="A4" s="125"/>
      <c r="B4" s="126"/>
      <c r="C4" s="127" t="s">
        <v>75</v>
      </c>
      <c r="D4" s="128" t="s">
        <v>76</v>
      </c>
      <c r="E4" s="76" t="s">
        <v>75</v>
      </c>
      <c r="F4" s="128" t="s">
        <v>76</v>
      </c>
      <c r="G4" s="76" t="s">
        <v>75</v>
      </c>
      <c r="H4" s="129" t="s">
        <v>76</v>
      </c>
      <c r="I4" s="127" t="s">
        <v>75</v>
      </c>
      <c r="J4" s="128" t="s">
        <v>76</v>
      </c>
      <c r="K4" s="76" t="s">
        <v>75</v>
      </c>
      <c r="L4" s="128" t="s">
        <v>76</v>
      </c>
      <c r="M4" s="76" t="s">
        <v>75</v>
      </c>
      <c r="N4" s="129" t="s">
        <v>76</v>
      </c>
      <c r="O4" s="127" t="s">
        <v>75</v>
      </c>
      <c r="P4" s="128" t="s">
        <v>76</v>
      </c>
      <c r="Q4" s="76" t="s">
        <v>75</v>
      </c>
      <c r="R4" s="128" t="s">
        <v>76</v>
      </c>
      <c r="S4" s="76" t="s">
        <v>75</v>
      </c>
      <c r="T4" s="129" t="s">
        <v>76</v>
      </c>
      <c r="U4" s="127" t="s">
        <v>75</v>
      </c>
      <c r="V4" s="128" t="s">
        <v>76</v>
      </c>
      <c r="W4" s="76" t="s">
        <v>75</v>
      </c>
      <c r="X4" s="128" t="s">
        <v>76</v>
      </c>
      <c r="Y4" s="76" t="s">
        <v>75</v>
      </c>
      <c r="Z4" s="129" t="s">
        <v>76</v>
      </c>
      <c r="AA4" s="127" t="s">
        <v>75</v>
      </c>
      <c r="AB4" s="128" t="s">
        <v>76</v>
      </c>
      <c r="AC4" s="76" t="s">
        <v>75</v>
      </c>
      <c r="AD4" s="128" t="s">
        <v>76</v>
      </c>
      <c r="AE4" s="76" t="s">
        <v>75</v>
      </c>
      <c r="AF4" s="129" t="s">
        <v>76</v>
      </c>
    </row>
    <row r="5" spans="1:32" x14ac:dyDescent="0.3">
      <c r="A5" s="85" t="s">
        <v>77</v>
      </c>
      <c r="B5" s="86" t="s">
        <v>78</v>
      </c>
      <c r="C5" s="104">
        <v>13.666700000000001</v>
      </c>
      <c r="D5" s="130">
        <v>8.3699999999999992</v>
      </c>
      <c r="E5" s="75">
        <v>13.833299999999999</v>
      </c>
      <c r="F5" s="130">
        <v>8.27</v>
      </c>
      <c r="G5" s="75">
        <v>13.5</v>
      </c>
      <c r="H5" s="105">
        <v>8.42</v>
      </c>
      <c r="I5" s="104">
        <v>10.166700000000001</v>
      </c>
      <c r="J5" s="75">
        <v>11.42</v>
      </c>
      <c r="K5" s="131">
        <v>10.5</v>
      </c>
      <c r="L5" s="130">
        <v>11.12</v>
      </c>
      <c r="M5" s="75">
        <v>10.333299999999999</v>
      </c>
      <c r="N5" s="105">
        <v>11.15</v>
      </c>
      <c r="O5" s="104">
        <v>13.666700000000001</v>
      </c>
      <c r="P5" s="75">
        <v>23.98</v>
      </c>
      <c r="Q5" s="131">
        <v>13.666700000000001</v>
      </c>
      <c r="R5" s="130">
        <v>23.9</v>
      </c>
      <c r="S5" s="75">
        <v>13.666700000000001</v>
      </c>
      <c r="T5" s="105">
        <v>24.053999999999998</v>
      </c>
      <c r="U5" s="104">
        <v>22</v>
      </c>
      <c r="V5" s="75">
        <v>17</v>
      </c>
      <c r="W5" s="131">
        <v>21.833300000000001</v>
      </c>
      <c r="X5" s="130">
        <v>16.96</v>
      </c>
      <c r="Y5" s="75">
        <v>21.833300000000001</v>
      </c>
      <c r="Z5" s="105">
        <v>16.93</v>
      </c>
      <c r="AA5" s="104">
        <v>11.5</v>
      </c>
      <c r="AB5" s="75">
        <v>8.0500000000000007</v>
      </c>
      <c r="AC5" s="131">
        <v>11.5</v>
      </c>
      <c r="AD5" s="130">
        <v>8.17</v>
      </c>
      <c r="AE5" s="75">
        <v>11.5</v>
      </c>
      <c r="AF5" s="105">
        <v>8.23</v>
      </c>
    </row>
    <row r="6" spans="1:32" x14ac:dyDescent="0.3">
      <c r="A6" s="87" t="s">
        <v>79</v>
      </c>
      <c r="B6" s="88" t="s">
        <v>80</v>
      </c>
      <c r="C6" s="104">
        <v>20</v>
      </c>
      <c r="D6" s="130">
        <v>2.5157831528584906</v>
      </c>
      <c r="E6" s="75">
        <v>20</v>
      </c>
      <c r="F6" s="130">
        <v>2.883</v>
      </c>
      <c r="G6" s="75">
        <v>19.5</v>
      </c>
      <c r="H6" s="105">
        <v>3.6480000000000001</v>
      </c>
      <c r="I6" s="104">
        <v>16.166699999999999</v>
      </c>
      <c r="J6" s="75">
        <v>6.1509999999999998</v>
      </c>
      <c r="K6" s="131">
        <v>16.166699999999999</v>
      </c>
      <c r="L6" s="130">
        <v>6.165</v>
      </c>
      <c r="M6" s="75">
        <v>16.5</v>
      </c>
      <c r="N6" s="105">
        <v>5.7530000000000001</v>
      </c>
      <c r="O6" s="104">
        <v>24.333300000000001</v>
      </c>
      <c r="P6" s="75">
        <v>14.7</v>
      </c>
      <c r="Q6" s="131">
        <v>24</v>
      </c>
      <c r="R6" s="130">
        <v>14.86</v>
      </c>
      <c r="S6" s="75">
        <v>24.333300000000001</v>
      </c>
      <c r="T6" s="105">
        <v>14.68</v>
      </c>
      <c r="U6" s="104">
        <v>28.333300000000001</v>
      </c>
      <c r="V6" s="75">
        <v>11.55</v>
      </c>
      <c r="W6" s="131">
        <v>28</v>
      </c>
      <c r="X6" s="130">
        <v>11.71</v>
      </c>
      <c r="Y6" s="75">
        <v>28</v>
      </c>
      <c r="Z6" s="105">
        <v>11.56</v>
      </c>
      <c r="AA6" s="104">
        <v>18.5</v>
      </c>
      <c r="AB6" s="75">
        <v>1.855</v>
      </c>
      <c r="AC6" s="131">
        <v>19.166699999999999</v>
      </c>
      <c r="AD6" s="130">
        <v>1.3420000000000001</v>
      </c>
      <c r="AE6" s="75">
        <v>19.333300000000001</v>
      </c>
      <c r="AF6" s="105">
        <v>1.2</v>
      </c>
    </row>
    <row r="7" spans="1:32" x14ac:dyDescent="0.3">
      <c r="A7" s="87" t="s">
        <v>81</v>
      </c>
      <c r="B7" s="88" t="s">
        <v>82</v>
      </c>
      <c r="C7" s="104">
        <v>28</v>
      </c>
      <c r="D7" s="130">
        <v>6.22</v>
      </c>
      <c r="E7" s="75">
        <v>28</v>
      </c>
      <c r="F7" s="130">
        <v>6.2140000000000004</v>
      </c>
      <c r="G7" s="75">
        <v>28.833300000000001</v>
      </c>
      <c r="H7" s="105">
        <v>7.0620000000000003</v>
      </c>
      <c r="I7" s="104">
        <v>31</v>
      </c>
      <c r="J7" s="75">
        <v>8.74</v>
      </c>
      <c r="K7" s="131">
        <v>31</v>
      </c>
      <c r="L7" s="130">
        <v>8.73</v>
      </c>
      <c r="M7" s="75">
        <v>31.333300000000001</v>
      </c>
      <c r="N7" s="105">
        <v>9.16</v>
      </c>
      <c r="O7" s="104">
        <v>50.833300000000001</v>
      </c>
      <c r="P7" s="75">
        <v>21.640999999999998</v>
      </c>
      <c r="Q7" s="131">
        <v>51.666699999999999</v>
      </c>
      <c r="R7" s="130">
        <v>22.402999999999999</v>
      </c>
      <c r="S7" s="75">
        <v>53.333300000000001</v>
      </c>
      <c r="T7" s="105">
        <v>23.774000000000001</v>
      </c>
      <c r="U7" s="104">
        <v>45</v>
      </c>
      <c r="V7" s="75">
        <v>16.66</v>
      </c>
      <c r="W7" s="131">
        <v>44.166699999999999</v>
      </c>
      <c r="X7" s="130">
        <v>16.09</v>
      </c>
      <c r="Y7" s="75">
        <v>44.166699999999999</v>
      </c>
      <c r="Z7" s="105">
        <v>16.149999999999999</v>
      </c>
      <c r="AA7" s="104">
        <v>32.5</v>
      </c>
      <c r="AB7" s="75">
        <v>6.29</v>
      </c>
      <c r="AC7" s="131">
        <v>30.5</v>
      </c>
      <c r="AD7" s="130">
        <v>4.6989999999999998</v>
      </c>
      <c r="AE7" s="75">
        <v>31.833300000000001</v>
      </c>
      <c r="AF7" s="105">
        <v>5.84</v>
      </c>
    </row>
    <row r="8" spans="1:32" x14ac:dyDescent="0.3">
      <c r="A8" s="87" t="s">
        <v>83</v>
      </c>
      <c r="B8" s="88" t="s">
        <v>84</v>
      </c>
      <c r="C8" s="104">
        <v>34.666699999999999</v>
      </c>
      <c r="D8" s="130">
        <v>12.24</v>
      </c>
      <c r="E8" s="75">
        <v>34.666699999999999</v>
      </c>
      <c r="F8" s="130">
        <v>12.29</v>
      </c>
      <c r="G8" s="75">
        <v>34.666699999999999</v>
      </c>
      <c r="H8" s="105">
        <v>12.42</v>
      </c>
      <c r="I8" s="104">
        <v>37.833300000000001</v>
      </c>
      <c r="J8" s="75">
        <v>14.94</v>
      </c>
      <c r="K8" s="131">
        <v>37.833300000000001</v>
      </c>
      <c r="L8" s="130">
        <v>15.06</v>
      </c>
      <c r="M8" s="75">
        <v>37.833300000000001</v>
      </c>
      <c r="N8" s="105">
        <v>15.12</v>
      </c>
      <c r="O8" s="104">
        <v>59</v>
      </c>
      <c r="P8" s="75">
        <v>29.1</v>
      </c>
      <c r="Q8" s="132">
        <v>593333</v>
      </c>
      <c r="R8" s="130">
        <v>29.585000000000001</v>
      </c>
      <c r="S8" s="75">
        <v>59</v>
      </c>
      <c r="T8" s="105">
        <v>29.065000000000001</v>
      </c>
      <c r="U8" s="104">
        <v>52.833300000000001</v>
      </c>
      <c r="V8" s="75">
        <v>23.68</v>
      </c>
      <c r="W8" s="131">
        <v>52.666699999999999</v>
      </c>
      <c r="X8" s="130">
        <v>23.87</v>
      </c>
      <c r="Y8" s="133">
        <v>526667</v>
      </c>
      <c r="Z8" s="105">
        <v>23.9</v>
      </c>
      <c r="AA8" s="104">
        <v>39.5</v>
      </c>
      <c r="AB8" s="75">
        <v>12.73</v>
      </c>
      <c r="AC8" s="131">
        <v>40</v>
      </c>
      <c r="AD8" s="130">
        <v>13.24</v>
      </c>
      <c r="AE8" s="75">
        <v>40</v>
      </c>
      <c r="AF8" s="105">
        <v>13.28</v>
      </c>
    </row>
    <row r="9" spans="1:32" ht="15.6" x14ac:dyDescent="0.35">
      <c r="A9" s="87" t="s">
        <v>85</v>
      </c>
      <c r="B9" s="88" t="s">
        <v>86</v>
      </c>
      <c r="C9" s="104">
        <v>18.910017647698272</v>
      </c>
      <c r="D9" s="130">
        <v>13.121382953087044</v>
      </c>
      <c r="E9" s="75">
        <v>15.392553256469039</v>
      </c>
      <c r="F9" s="130">
        <v>15.603377213115852</v>
      </c>
      <c r="G9" s="75">
        <v>11.623999999999993</v>
      </c>
      <c r="H9" s="105">
        <v>12.978000000001479</v>
      </c>
      <c r="I9" s="104">
        <v>19.984416927777382</v>
      </c>
      <c r="J9" s="75">
        <v>18.440635125049596</v>
      </c>
      <c r="K9" s="131">
        <v>20.690989929470504</v>
      </c>
      <c r="L9" s="130">
        <v>18.950648442187841</v>
      </c>
      <c r="M9" s="75">
        <v>20.475554283489895</v>
      </c>
      <c r="N9" s="105">
        <v>19.251222564102797</v>
      </c>
      <c r="O9" s="104">
        <v>31.810000000000166</v>
      </c>
      <c r="P9" s="75">
        <v>21.736761119331213</v>
      </c>
      <c r="Q9" s="131">
        <v>29.651081416391765</v>
      </c>
      <c r="R9" s="130">
        <v>18.791999999988963</v>
      </c>
      <c r="S9" s="75">
        <v>28.805999999999948</v>
      </c>
      <c r="T9" s="105">
        <v>12.999044658552425</v>
      </c>
      <c r="U9" s="104">
        <v>45.565559345050652</v>
      </c>
      <c r="V9" s="75">
        <v>37.140716939214187</v>
      </c>
      <c r="W9" s="131">
        <v>43.650539186275878</v>
      </c>
      <c r="X9" s="130">
        <v>45.118413490189127</v>
      </c>
      <c r="Y9" s="75">
        <v>41.920551510533635</v>
      </c>
      <c r="Z9" s="105">
        <v>44.998419607836013</v>
      </c>
      <c r="AA9" s="104">
        <v>33.560499999999458</v>
      </c>
      <c r="AB9" s="75">
        <v>24.365000000001061</v>
      </c>
      <c r="AC9" s="131">
        <v>33.722302359554476</v>
      </c>
      <c r="AD9" s="130">
        <v>29.893000000002175</v>
      </c>
      <c r="AE9" s="75">
        <v>35.320717960501412</v>
      </c>
      <c r="AF9" s="105">
        <v>29.950759180576327</v>
      </c>
    </row>
    <row r="10" spans="1:32" ht="15.6" x14ac:dyDescent="0.35">
      <c r="A10" s="87" t="s">
        <v>87</v>
      </c>
      <c r="B10" s="88" t="s">
        <v>88</v>
      </c>
      <c r="C10" s="104">
        <v>342.71448942889174</v>
      </c>
      <c r="D10" s="130">
        <v>260.25942281788622</v>
      </c>
      <c r="E10" s="75">
        <v>295.32910054540247</v>
      </c>
      <c r="F10" s="130">
        <v>265.41342958285225</v>
      </c>
      <c r="G10" s="75">
        <v>283.05400000000003</v>
      </c>
      <c r="H10" s="105">
        <v>224.68400000000094</v>
      </c>
      <c r="I10" s="104">
        <v>435.29487543792334</v>
      </c>
      <c r="J10" s="75">
        <v>371.28739221798082</v>
      </c>
      <c r="K10" s="131">
        <v>419.82582111291958</v>
      </c>
      <c r="L10" s="130">
        <v>363.45147558847782</v>
      </c>
      <c r="M10" s="75">
        <v>427.62887881146594</v>
      </c>
      <c r="N10" s="105">
        <v>362.72584799757948</v>
      </c>
      <c r="O10" s="104">
        <v>645.65800000000002</v>
      </c>
      <c r="P10" s="75">
        <v>443.5104224472492</v>
      </c>
      <c r="Q10" s="131">
        <v>615.52790513195225</v>
      </c>
      <c r="R10" s="130">
        <v>404.46999999999059</v>
      </c>
      <c r="S10" s="75">
        <v>601.3035000000001</v>
      </c>
      <c r="T10" s="105">
        <v>304.39816324608825</v>
      </c>
      <c r="U10" s="104">
        <v>862.22564850867661</v>
      </c>
      <c r="V10" s="75">
        <v>730.97531220558096</v>
      </c>
      <c r="W10" s="131">
        <v>868.93729670650498</v>
      </c>
      <c r="X10" s="130">
        <v>829.07915515293723</v>
      </c>
      <c r="Y10" s="75">
        <v>885.59521844746826</v>
      </c>
      <c r="Z10" s="105">
        <v>831.55507072940759</v>
      </c>
      <c r="AA10" s="104">
        <v>703.46349405017236</v>
      </c>
      <c r="AB10" s="75">
        <v>502.68693260901995</v>
      </c>
      <c r="AC10" s="131">
        <v>674.98488578324748</v>
      </c>
      <c r="AD10" s="130">
        <v>608.69318181818244</v>
      </c>
      <c r="AE10" s="75">
        <v>672.77107894501671</v>
      </c>
      <c r="AF10" s="105">
        <v>567.29843020232647</v>
      </c>
    </row>
    <row r="11" spans="1:32" x14ac:dyDescent="0.3">
      <c r="A11" s="89" t="s">
        <v>89</v>
      </c>
      <c r="B11" s="134" t="s">
        <v>36</v>
      </c>
      <c r="C11" s="106">
        <v>18.123435726703669</v>
      </c>
      <c r="D11" s="135">
        <v>19.834755509262493</v>
      </c>
      <c r="E11" s="78">
        <v>19.186492040966908</v>
      </c>
      <c r="F11" s="135">
        <v>17.009998922525028</v>
      </c>
      <c r="G11" s="78">
        <v>24.350825877494856</v>
      </c>
      <c r="H11" s="107">
        <v>17.312683002001489</v>
      </c>
      <c r="I11" s="106">
        <v>21.781715073852585</v>
      </c>
      <c r="J11" s="78">
        <v>20.134197640168441</v>
      </c>
      <c r="K11" s="136">
        <v>20.290272362220573</v>
      </c>
      <c r="L11" s="135">
        <v>19.178841119724638</v>
      </c>
      <c r="M11" s="78">
        <v>20.884849947934107</v>
      </c>
      <c r="N11" s="107">
        <v>18.84170456134791</v>
      </c>
      <c r="O11" s="106">
        <v>20.297327884313002</v>
      </c>
      <c r="P11" s="78">
        <v>20.403703201799502</v>
      </c>
      <c r="Q11" s="136">
        <v>20.759037300800603</v>
      </c>
      <c r="R11" s="135">
        <v>21.523520647096007</v>
      </c>
      <c r="S11" s="78">
        <v>20.874244948969007</v>
      </c>
      <c r="T11" s="107">
        <v>23.416964187888716</v>
      </c>
      <c r="U11" s="106">
        <v>18.922749131188528</v>
      </c>
      <c r="V11" s="78">
        <v>19.681238609419442</v>
      </c>
      <c r="W11" s="136">
        <v>19.906679571548263</v>
      </c>
      <c r="X11" s="135">
        <v>18.37562739951435</v>
      </c>
      <c r="Y11" s="78">
        <v>21.125562201273503</v>
      </c>
      <c r="Z11" s="107">
        <v>18.479650573874839</v>
      </c>
      <c r="AA11" s="106">
        <v>20.961055230112297</v>
      </c>
      <c r="AB11" s="78">
        <v>20.631517857951902</v>
      </c>
      <c r="AC11" s="136">
        <v>20.015978701169711</v>
      </c>
      <c r="AD11" s="135">
        <v>20.36239861566715</v>
      </c>
      <c r="AE11" s="78">
        <v>19.047491608108469</v>
      </c>
      <c r="AF11" s="107">
        <v>18.941036745747365</v>
      </c>
    </row>
    <row r="16" spans="1:32" x14ac:dyDescent="0.3">
      <c r="A16" s="115" t="s">
        <v>90</v>
      </c>
      <c r="B16" s="116"/>
      <c r="C16" s="117" t="s">
        <v>67</v>
      </c>
      <c r="D16" s="118"/>
      <c r="E16" s="118"/>
      <c r="F16" s="118"/>
      <c r="G16" s="118"/>
      <c r="H16" s="119"/>
      <c r="I16" s="117" t="s">
        <v>68</v>
      </c>
      <c r="J16" s="118"/>
      <c r="K16" s="118"/>
      <c r="L16" s="118"/>
      <c r="M16" s="118"/>
      <c r="N16" s="119"/>
      <c r="O16" s="117" t="s">
        <v>69</v>
      </c>
      <c r="P16" s="118"/>
      <c r="Q16" s="118"/>
      <c r="R16" s="118"/>
      <c r="S16" s="118"/>
      <c r="T16" s="119"/>
      <c r="U16" s="117" t="s">
        <v>70</v>
      </c>
      <c r="V16" s="118"/>
      <c r="W16" s="118"/>
      <c r="X16" s="118"/>
      <c r="Y16" s="118"/>
      <c r="Z16" s="119"/>
      <c r="AA16" s="117" t="s">
        <v>71</v>
      </c>
      <c r="AB16" s="118"/>
      <c r="AC16" s="118"/>
      <c r="AD16" s="118"/>
      <c r="AE16" s="118"/>
      <c r="AF16" s="119"/>
    </row>
    <row r="17" spans="1:32" x14ac:dyDescent="0.3">
      <c r="A17" s="115"/>
      <c r="B17" s="116"/>
      <c r="C17" s="120" t="s">
        <v>72</v>
      </c>
      <c r="D17" s="121"/>
      <c r="E17" s="122" t="s">
        <v>73</v>
      </c>
      <c r="F17" s="121"/>
      <c r="G17" s="122" t="s">
        <v>74</v>
      </c>
      <c r="H17" s="123"/>
      <c r="I17" s="120" t="s">
        <v>72</v>
      </c>
      <c r="J17" s="122"/>
      <c r="K17" s="124" t="s">
        <v>73</v>
      </c>
      <c r="L17" s="121"/>
      <c r="M17" s="122" t="s">
        <v>74</v>
      </c>
      <c r="N17" s="123"/>
      <c r="O17" s="120" t="s">
        <v>72</v>
      </c>
      <c r="P17" s="122"/>
      <c r="Q17" s="124" t="s">
        <v>73</v>
      </c>
      <c r="R17" s="121"/>
      <c r="S17" s="122" t="s">
        <v>74</v>
      </c>
      <c r="T17" s="123"/>
      <c r="U17" s="120" t="s">
        <v>72</v>
      </c>
      <c r="V17" s="122"/>
      <c r="W17" s="124" t="s">
        <v>73</v>
      </c>
      <c r="X17" s="121"/>
      <c r="Y17" s="122" t="s">
        <v>74</v>
      </c>
      <c r="Z17" s="123"/>
      <c r="AA17" s="120" t="s">
        <v>72</v>
      </c>
      <c r="AB17" s="122"/>
      <c r="AC17" s="124" t="s">
        <v>73</v>
      </c>
      <c r="AD17" s="121"/>
      <c r="AE17" s="122" t="s">
        <v>74</v>
      </c>
      <c r="AF17" s="123"/>
    </row>
    <row r="18" spans="1:32" ht="16.2" x14ac:dyDescent="0.3">
      <c r="A18" s="125"/>
      <c r="B18" s="126"/>
      <c r="C18" s="127" t="s">
        <v>75</v>
      </c>
      <c r="D18" s="128" t="s">
        <v>76</v>
      </c>
      <c r="E18" s="76" t="s">
        <v>75</v>
      </c>
      <c r="F18" s="128" t="s">
        <v>76</v>
      </c>
      <c r="G18" s="76" t="s">
        <v>75</v>
      </c>
      <c r="H18" s="129" t="s">
        <v>76</v>
      </c>
      <c r="I18" s="127" t="s">
        <v>75</v>
      </c>
      <c r="J18" s="128" t="s">
        <v>76</v>
      </c>
      <c r="K18" s="76" t="s">
        <v>75</v>
      </c>
      <c r="L18" s="128" t="s">
        <v>76</v>
      </c>
      <c r="M18" s="76" t="s">
        <v>75</v>
      </c>
      <c r="N18" s="129" t="s">
        <v>76</v>
      </c>
      <c r="O18" s="127" t="s">
        <v>75</v>
      </c>
      <c r="P18" s="128" t="s">
        <v>76</v>
      </c>
      <c r="Q18" s="76" t="s">
        <v>75</v>
      </c>
      <c r="R18" s="128" t="s">
        <v>76</v>
      </c>
      <c r="S18" s="76" t="s">
        <v>75</v>
      </c>
      <c r="T18" s="129" t="s">
        <v>76</v>
      </c>
      <c r="U18" s="127" t="s">
        <v>75</v>
      </c>
      <c r="V18" s="128" t="s">
        <v>76</v>
      </c>
      <c r="W18" s="76" t="s">
        <v>75</v>
      </c>
      <c r="X18" s="128" t="s">
        <v>76</v>
      </c>
      <c r="Y18" s="76" t="s">
        <v>75</v>
      </c>
      <c r="Z18" s="129" t="s">
        <v>76</v>
      </c>
      <c r="AA18" s="127" t="s">
        <v>75</v>
      </c>
      <c r="AB18" s="128" t="s">
        <v>76</v>
      </c>
      <c r="AC18" s="76" t="s">
        <v>75</v>
      </c>
      <c r="AD18" s="128" t="s">
        <v>76</v>
      </c>
      <c r="AE18" s="76" t="s">
        <v>75</v>
      </c>
      <c r="AF18" s="129" t="s">
        <v>76</v>
      </c>
    </row>
    <row r="19" spans="1:32" x14ac:dyDescent="0.3">
      <c r="A19" s="85" t="s">
        <v>77</v>
      </c>
      <c r="B19" s="86" t="s">
        <v>78</v>
      </c>
      <c r="C19" s="104">
        <v>26.833300000000001</v>
      </c>
      <c r="D19" s="130">
        <v>8.3699999999999992</v>
      </c>
      <c r="E19" s="75">
        <v>26.5</v>
      </c>
      <c r="F19" s="130">
        <v>8.4</v>
      </c>
      <c r="G19" s="75">
        <v>26.333300000000001</v>
      </c>
      <c r="H19" s="105">
        <v>8.3800000000000008</v>
      </c>
      <c r="I19" s="104">
        <v>20.333300000000001</v>
      </c>
      <c r="J19" s="75">
        <v>11.18</v>
      </c>
      <c r="K19" s="131">
        <v>20.166699999999999</v>
      </c>
      <c r="L19" s="130">
        <v>11.2</v>
      </c>
      <c r="M19" s="75">
        <v>19.833300000000001</v>
      </c>
      <c r="N19" s="105">
        <v>11.18</v>
      </c>
      <c r="O19" s="104">
        <v>27.5</v>
      </c>
      <c r="P19" s="75">
        <v>23.84</v>
      </c>
      <c r="Q19" s="131">
        <v>28.333300000000001</v>
      </c>
      <c r="R19" s="130">
        <v>23.51</v>
      </c>
      <c r="S19" s="75">
        <v>28.333300000000001</v>
      </c>
      <c r="T19" s="105">
        <v>23.5</v>
      </c>
      <c r="U19" s="104">
        <v>42.166699999999999</v>
      </c>
      <c r="V19" s="75">
        <v>17.53</v>
      </c>
      <c r="W19" s="131">
        <v>43.333300000000001</v>
      </c>
      <c r="X19" s="130">
        <v>16.940000000000001</v>
      </c>
      <c r="Y19" s="75">
        <v>43</v>
      </c>
      <c r="Z19" s="105">
        <v>17.05</v>
      </c>
      <c r="AA19" s="104">
        <v>26.666699999999999</v>
      </c>
      <c r="AB19" s="75">
        <v>8.19</v>
      </c>
      <c r="AC19" s="131">
        <v>26.166699999999999</v>
      </c>
      <c r="AD19" s="130">
        <v>8.2799999999999994</v>
      </c>
      <c r="AE19" s="75">
        <v>25.833300000000001</v>
      </c>
      <c r="AF19" s="105">
        <v>8.33</v>
      </c>
    </row>
    <row r="20" spans="1:32" x14ac:dyDescent="0.3">
      <c r="A20" s="87" t="s">
        <v>79</v>
      </c>
      <c r="B20" s="88" t="s">
        <v>80</v>
      </c>
      <c r="C20" s="104">
        <v>36</v>
      </c>
      <c r="D20" s="130">
        <v>4.218</v>
      </c>
      <c r="E20" s="75">
        <v>36</v>
      </c>
      <c r="F20" s="130">
        <v>4.1529999999999996</v>
      </c>
      <c r="G20" s="75">
        <v>34.833300000000001</v>
      </c>
      <c r="H20" s="105">
        <v>4.7649999999999997</v>
      </c>
      <c r="I20" s="104">
        <v>28.333300000000001</v>
      </c>
      <c r="J20" s="75">
        <v>7.6589999999999998</v>
      </c>
      <c r="K20" s="131">
        <v>28.166699999999999</v>
      </c>
      <c r="L20" s="130">
        <v>7.6050000000000004</v>
      </c>
      <c r="M20" s="75">
        <v>31.333300000000001</v>
      </c>
      <c r="N20" s="105">
        <v>6.0670000000000002</v>
      </c>
      <c r="O20" s="104">
        <v>40.666699999999999</v>
      </c>
      <c r="P20" s="75">
        <v>18.11</v>
      </c>
      <c r="Q20" s="131">
        <v>41.5</v>
      </c>
      <c r="R20" s="130">
        <v>17.62</v>
      </c>
      <c r="S20" s="75">
        <v>43.5</v>
      </c>
      <c r="T20" s="105">
        <v>16.760000000000002</v>
      </c>
      <c r="U20" s="104">
        <v>51.5</v>
      </c>
      <c r="V20" s="75">
        <v>13.41</v>
      </c>
      <c r="W20" s="131">
        <v>51.333300000000001</v>
      </c>
      <c r="X20" s="130">
        <v>13.45</v>
      </c>
      <c r="Y20" s="75">
        <v>51.333300000000001</v>
      </c>
      <c r="Z20" s="105">
        <v>13.33</v>
      </c>
      <c r="AA20" s="104">
        <v>36.833300000000001</v>
      </c>
      <c r="AB20" s="75">
        <v>3.6240000000000001</v>
      </c>
      <c r="AC20" s="131">
        <v>36.5</v>
      </c>
      <c r="AD20" s="130">
        <v>3.7149999999999999</v>
      </c>
      <c r="AE20" s="75">
        <v>35.666699999999999</v>
      </c>
      <c r="AF20" s="105">
        <v>4.25</v>
      </c>
    </row>
    <row r="21" spans="1:32" x14ac:dyDescent="0.3">
      <c r="A21" s="87" t="s">
        <v>81</v>
      </c>
      <c r="B21" s="88" t="s">
        <v>82</v>
      </c>
      <c r="C21" s="104">
        <v>52.333300000000001</v>
      </c>
      <c r="D21" s="130">
        <v>6.2670000000000003</v>
      </c>
      <c r="E21" s="75">
        <v>54</v>
      </c>
      <c r="F21" s="130">
        <v>7.0730000000000004</v>
      </c>
      <c r="G21" s="75">
        <v>54</v>
      </c>
      <c r="H21" s="105">
        <v>7.125</v>
      </c>
      <c r="I21" s="104">
        <v>57.166699999999999</v>
      </c>
      <c r="J21" s="75">
        <v>8.2899999999999991</v>
      </c>
      <c r="K21" s="131">
        <v>56.166699999999999</v>
      </c>
      <c r="L21" s="130">
        <v>7.9370000000000003</v>
      </c>
      <c r="M21" s="75">
        <v>58.166699999999999</v>
      </c>
      <c r="N21" s="105">
        <v>8.89</v>
      </c>
      <c r="O21" s="104">
        <v>95.333299999999994</v>
      </c>
      <c r="P21" s="75">
        <v>20.45</v>
      </c>
      <c r="Q21" s="131">
        <v>97.666700000000006</v>
      </c>
      <c r="R21" s="130">
        <v>21.44</v>
      </c>
      <c r="S21" s="75">
        <v>95.666700000000006</v>
      </c>
      <c r="T21" s="105">
        <v>20.56</v>
      </c>
      <c r="U21" s="104">
        <v>86</v>
      </c>
      <c r="V21" s="75">
        <v>16.47</v>
      </c>
      <c r="W21" s="131">
        <v>85.5</v>
      </c>
      <c r="X21" s="130">
        <v>16.27</v>
      </c>
      <c r="Y21" s="75">
        <v>85.166700000000006</v>
      </c>
      <c r="Z21" s="105">
        <v>16.100000000000001</v>
      </c>
      <c r="AA21" s="104">
        <v>53.333300000000001</v>
      </c>
      <c r="AB21" s="75">
        <v>6.3659999999999997</v>
      </c>
      <c r="AC21" s="131">
        <v>54.333300000000001</v>
      </c>
      <c r="AD21" s="130">
        <v>6.8529999999999998</v>
      </c>
      <c r="AE21" s="75">
        <v>53.833300000000001</v>
      </c>
      <c r="AF21" s="105">
        <v>6.6779999999999999</v>
      </c>
    </row>
    <row r="22" spans="1:32" x14ac:dyDescent="0.3">
      <c r="A22" s="87" t="s">
        <v>83</v>
      </c>
      <c r="B22" s="88" t="s">
        <v>84</v>
      </c>
      <c r="C22" s="104">
        <v>62.666699999999999</v>
      </c>
      <c r="D22" s="130">
        <v>10.91</v>
      </c>
      <c r="E22" s="75">
        <v>62.166699999999999</v>
      </c>
      <c r="F22" s="130">
        <v>10.75</v>
      </c>
      <c r="G22" s="75">
        <v>62.166699999999999</v>
      </c>
      <c r="H22" s="105">
        <v>10.84</v>
      </c>
      <c r="I22" s="104">
        <v>69.5</v>
      </c>
      <c r="J22" s="75">
        <v>13.88</v>
      </c>
      <c r="K22" s="131">
        <v>68.833299999999994</v>
      </c>
      <c r="L22" s="130">
        <v>13.64</v>
      </c>
      <c r="M22" s="75">
        <v>68.833299999999994</v>
      </c>
      <c r="N22" s="105">
        <v>13.76</v>
      </c>
      <c r="O22" s="104">
        <v>111.5</v>
      </c>
      <c r="P22" s="75">
        <v>27.72</v>
      </c>
      <c r="Q22" s="132">
        <v>110.83329999999999</v>
      </c>
      <c r="R22" s="130">
        <v>27.46</v>
      </c>
      <c r="S22" s="75">
        <v>111</v>
      </c>
      <c r="T22" s="105">
        <v>27.6</v>
      </c>
      <c r="U22" s="104">
        <v>97.666700000000006</v>
      </c>
      <c r="V22" s="75">
        <v>21.63</v>
      </c>
      <c r="W22" s="131">
        <v>98</v>
      </c>
      <c r="X22" s="130">
        <v>21.78</v>
      </c>
      <c r="Y22" s="133">
        <v>98.333299999999994</v>
      </c>
      <c r="Z22" s="105">
        <v>21.81</v>
      </c>
      <c r="AA22" s="104">
        <v>65</v>
      </c>
      <c r="AB22" s="75">
        <v>11.79</v>
      </c>
      <c r="AC22" s="131">
        <v>65.833299999999994</v>
      </c>
      <c r="AD22" s="130">
        <v>12.26</v>
      </c>
      <c r="AE22" s="75">
        <v>64.5</v>
      </c>
      <c r="AF22" s="105">
        <v>11.7</v>
      </c>
    </row>
    <row r="23" spans="1:32" ht="15.6" x14ac:dyDescent="0.35">
      <c r="A23" s="87" t="s">
        <v>85</v>
      </c>
      <c r="B23" s="88" t="s">
        <v>86</v>
      </c>
      <c r="C23" s="104">
        <v>16.558422747554808</v>
      </c>
      <c r="D23" s="130">
        <v>13.495499999991058</v>
      </c>
      <c r="E23" s="75">
        <v>14.983000000001347</v>
      </c>
      <c r="F23" s="130">
        <v>11.554624797442504</v>
      </c>
      <c r="G23" s="75">
        <v>12.873737176471725</v>
      </c>
      <c r="H23" s="105">
        <v>11.148620919907227</v>
      </c>
      <c r="I23" s="104">
        <v>18.989218870834495</v>
      </c>
      <c r="J23" s="75">
        <v>20.394433444405173</v>
      </c>
      <c r="K23" s="131">
        <v>19.627766020834681</v>
      </c>
      <c r="L23" s="130">
        <v>21.297499999990304</v>
      </c>
      <c r="M23" s="75">
        <v>23.598037420291519</v>
      </c>
      <c r="N23" s="105">
        <v>22.324999999991938</v>
      </c>
      <c r="O23" s="104">
        <v>24.579419748305764</v>
      </c>
      <c r="P23" s="75">
        <v>16.880734493363782</v>
      </c>
      <c r="Q23" s="131">
        <v>25.43059645418753</v>
      </c>
      <c r="R23" s="130">
        <v>14.22000000002852</v>
      </c>
      <c r="S23" s="75">
        <v>26.620681405096995</v>
      </c>
      <c r="T23" s="105">
        <v>21.379288346311004</v>
      </c>
      <c r="U23" s="104">
        <v>41.889580641356055</v>
      </c>
      <c r="V23" s="75">
        <v>36.779476630079813</v>
      </c>
      <c r="W23" s="131">
        <v>39.275712541664035</v>
      </c>
      <c r="X23" s="130">
        <v>38.060000000014043</v>
      </c>
      <c r="Y23" s="75">
        <v>40.750379441514923</v>
      </c>
      <c r="Z23" s="105">
        <v>37.370000000014755</v>
      </c>
      <c r="AA23" s="104">
        <v>32.993000000001317</v>
      </c>
      <c r="AB23" s="75">
        <v>26.817550146989124</v>
      </c>
      <c r="AC23" s="131">
        <v>31.580036135601674</v>
      </c>
      <c r="AD23" s="130">
        <v>24.836097072453462</v>
      </c>
      <c r="AE23" s="75">
        <v>27.232000000001218</v>
      </c>
      <c r="AF23" s="105">
        <v>25.491510045271252</v>
      </c>
    </row>
    <row r="24" spans="1:32" ht="15.6" x14ac:dyDescent="0.35">
      <c r="A24" s="87" t="s">
        <v>87</v>
      </c>
      <c r="B24" s="88" t="s">
        <v>88</v>
      </c>
      <c r="C24" s="104">
        <v>310.18887466227352</v>
      </c>
      <c r="D24" s="130">
        <v>278.17699999999843</v>
      </c>
      <c r="E24" s="75">
        <v>307.00399999999973</v>
      </c>
      <c r="F24" s="130">
        <v>226.80380969465062</v>
      </c>
      <c r="G24" s="75">
        <v>297.59976773333301</v>
      </c>
      <c r="H24" s="105">
        <v>224.83879214370154</v>
      </c>
      <c r="I24" s="104">
        <v>393.64684687499971</v>
      </c>
      <c r="J24" s="75">
        <v>410.70687554020213</v>
      </c>
      <c r="K24" s="131">
        <v>389.12269089583299</v>
      </c>
      <c r="L24" s="130">
        <v>412.41949999999866</v>
      </c>
      <c r="M24" s="75">
        <v>450.42497910144925</v>
      </c>
      <c r="N24" s="105">
        <v>400.51349999999616</v>
      </c>
      <c r="O24" s="104">
        <v>487.64238754332177</v>
      </c>
      <c r="P24" s="75">
        <v>354.21433885704829</v>
      </c>
      <c r="Q24" s="131">
        <v>497.06879858278808</v>
      </c>
      <c r="R24" s="130">
        <v>262.3880000000139</v>
      </c>
      <c r="S24" s="75">
        <v>516.37483783771881</v>
      </c>
      <c r="T24" s="105">
        <v>426.70918248519359</v>
      </c>
      <c r="U24" s="104">
        <v>931.75394483194543</v>
      </c>
      <c r="V24" s="75">
        <v>884.06868942660935</v>
      </c>
      <c r="W24" s="131">
        <v>878.44803838749795</v>
      </c>
      <c r="X24" s="130">
        <v>923.67600000000812</v>
      </c>
      <c r="Y24" s="75">
        <v>921.61906956427765</v>
      </c>
      <c r="Z24" s="105">
        <v>878.23300000000472</v>
      </c>
      <c r="AA24" s="104">
        <v>695.04399999999964</v>
      </c>
      <c r="AB24" s="75">
        <v>558.20388634031724</v>
      </c>
      <c r="AC24" s="131">
        <v>687.32273523462914</v>
      </c>
      <c r="AD24" s="130">
        <v>498.6600431014395</v>
      </c>
      <c r="AE24" s="75">
        <v>589.26440611918827</v>
      </c>
      <c r="AF24" s="105">
        <v>530.5989534751368</v>
      </c>
    </row>
    <row r="25" spans="1:32" x14ac:dyDescent="0.3">
      <c r="A25" s="89" t="s">
        <v>89</v>
      </c>
      <c r="B25" s="134" t="s">
        <v>36</v>
      </c>
      <c r="C25" s="106">
        <v>18.732996456928802</v>
      </c>
      <c r="D25" s="135">
        <v>20.612574561904541</v>
      </c>
      <c r="E25" s="78">
        <v>20.490155509575661</v>
      </c>
      <c r="F25" s="135">
        <v>19.62883379344791</v>
      </c>
      <c r="G25" s="78">
        <v>23.116812441785104</v>
      </c>
      <c r="H25" s="107">
        <v>20.167408485674166</v>
      </c>
      <c r="I25" s="106">
        <v>20.730017888181866</v>
      </c>
      <c r="J25" s="78">
        <v>20.138185091524168</v>
      </c>
      <c r="K25" s="136">
        <v>19.825113590756231</v>
      </c>
      <c r="L25" s="135">
        <v>19.364690691404459</v>
      </c>
      <c r="M25" s="78">
        <v>19.087391509691273</v>
      </c>
      <c r="N25" s="107">
        <v>17.940134378505746</v>
      </c>
      <c r="O25" s="106">
        <v>19.839458886206398</v>
      </c>
      <c r="P25" s="78">
        <v>20.983348739730392</v>
      </c>
      <c r="Q25" s="136">
        <v>19.546092812972077</v>
      </c>
      <c r="R25" s="135">
        <v>18.452039381117274</v>
      </c>
      <c r="S25" s="78">
        <v>19.397506396618752</v>
      </c>
      <c r="T25" s="107">
        <v>19.958998427504827</v>
      </c>
      <c r="U25" s="106">
        <v>22.243095551834166</v>
      </c>
      <c r="V25" s="78">
        <v>24.037011138532094</v>
      </c>
      <c r="W25" s="136">
        <v>22.366189727446248</v>
      </c>
      <c r="X25" s="135">
        <v>24.268943772981274</v>
      </c>
      <c r="Y25" s="78">
        <v>22.616208295360497</v>
      </c>
      <c r="Z25" s="107">
        <v>23.501016858433449</v>
      </c>
      <c r="AA25" s="106">
        <v>21.066408025944046</v>
      </c>
      <c r="AB25" s="78">
        <v>20.814872472718701</v>
      </c>
      <c r="AC25" s="136">
        <v>21.764469561824775</v>
      </c>
      <c r="AD25" s="135">
        <v>20.078035677132213</v>
      </c>
      <c r="AE25" s="78">
        <v>21.63867531283644</v>
      </c>
      <c r="AF25" s="107">
        <v>20.814732141518011</v>
      </c>
    </row>
  </sheetData>
  <mergeCells count="42">
    <mergeCell ref="U17:V17"/>
    <mergeCell ref="W17:X17"/>
    <mergeCell ref="Y17:Z17"/>
    <mergeCell ref="AA17:AB17"/>
    <mergeCell ref="AC17:AD17"/>
    <mergeCell ref="AE17:AF17"/>
    <mergeCell ref="AA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W3:X3"/>
    <mergeCell ref="Y3:Z3"/>
    <mergeCell ref="AA3:AB3"/>
    <mergeCell ref="AC3:AD3"/>
    <mergeCell ref="AE3:AF3"/>
    <mergeCell ref="A16:B18"/>
    <mergeCell ref="C16:H16"/>
    <mergeCell ref="I16:N16"/>
    <mergeCell ref="O16:T16"/>
    <mergeCell ref="U16:Z16"/>
    <mergeCell ref="K3:L3"/>
    <mergeCell ref="M3:N3"/>
    <mergeCell ref="O3:P3"/>
    <mergeCell ref="Q3:R3"/>
    <mergeCell ref="S3:T3"/>
    <mergeCell ref="U3:V3"/>
    <mergeCell ref="A2:B4"/>
    <mergeCell ref="C2:H2"/>
    <mergeCell ref="I2:N2"/>
    <mergeCell ref="O2:T2"/>
    <mergeCell ref="U2:Z2"/>
    <mergeCell ref="AA2:AF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44BF6-746A-4831-AB35-97FA075EB92C}">
  <sheetPr codeName="Hoja8"/>
  <dimension ref="A1:AA183"/>
  <sheetViews>
    <sheetView zoomScale="70" zoomScaleNormal="7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0.8867187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4" style="3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1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1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1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_xlfn.MAXIFS(Estimates_T1[Error],Estimates_T1[T / V],"Training")</f>
        <v>18.038135374019358</v>
      </c>
      <c r="R4" s="2"/>
      <c r="T4"/>
    </row>
    <row r="5" spans="1:21" x14ac:dyDescent="0.3">
      <c r="B5" s="11" t="s">
        <v>21</v>
      </c>
      <c r="C5" s="10">
        <v>0.7</v>
      </c>
      <c r="D5" s="10">
        <f>Training*D7</f>
        <v>25.2</v>
      </c>
      <c r="J5"/>
      <c r="K5"/>
      <c r="L5"/>
      <c r="M5" s="9"/>
      <c r="N5"/>
      <c r="O5" s="39"/>
      <c r="P5" s="2" t="s">
        <v>29</v>
      </c>
      <c r="Q5" s="3">
        <f ca="1">_xlfn.MINIFS(Estimates_T1[Error],Estimates_T1[T / V],"Training")</f>
        <v>1.0447706326802018</v>
      </c>
      <c r="R5" s="2"/>
      <c r="T5"/>
    </row>
    <row r="6" spans="1:21" x14ac:dyDescent="0.3">
      <c r="B6" s="12" t="s">
        <v>22</v>
      </c>
      <c r="C6" s="3">
        <f>1-C5</f>
        <v>0.30000000000000004</v>
      </c>
      <c r="D6" s="3">
        <f>Validation*D7</f>
        <v>10.8</v>
      </c>
      <c r="J6"/>
      <c r="K6"/>
      <c r="L6"/>
      <c r="M6" s="9"/>
      <c r="N6"/>
      <c r="O6" s="39"/>
      <c r="P6" s="2" t="s">
        <v>30</v>
      </c>
      <c r="Q6" s="3">
        <f ca="1">AVERAGEIFS(Estimates_T1[Error],Estimates_T1[T / V],"Training")</f>
        <v>5.5814141976230554</v>
      </c>
      <c r="R6" s="2"/>
      <c r="T6"/>
    </row>
    <row r="7" spans="1:21" x14ac:dyDescent="0.3">
      <c r="B7" s="13" t="s">
        <v>23</v>
      </c>
      <c r="C7" s="7">
        <v>1</v>
      </c>
      <c r="D7" s="7">
        <f>COUNT(Data_T1[L])</f>
        <v>36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_xlfn.MAXIFS(Estimates_T1[Error],Estimates_T1[T / V],"Validation")</f>
        <v>17.545771727415161</v>
      </c>
      <c r="R7" s="2"/>
      <c r="T7"/>
    </row>
    <row r="8" spans="1:21" x14ac:dyDescent="0.3">
      <c r="J8"/>
      <c r="K8"/>
      <c r="L8"/>
      <c r="M8" s="9"/>
      <c r="N8"/>
      <c r="O8" s="39"/>
      <c r="P8" s="2" t="s">
        <v>29</v>
      </c>
      <c r="Q8" s="3">
        <f ca="1">_xlfn.MINIFS(Estimates_T1[Error],Estimates_T1[T / V],"Validation")</f>
        <v>0.27769710955666438</v>
      </c>
      <c r="R8" s="2"/>
      <c r="T8"/>
    </row>
    <row r="9" spans="1:21" x14ac:dyDescent="0.3">
      <c r="J9"/>
      <c r="K9"/>
      <c r="L9"/>
      <c r="M9" s="9"/>
      <c r="N9"/>
      <c r="O9" s="38"/>
      <c r="P9" s="4" t="s">
        <v>30</v>
      </c>
      <c r="Q9" s="7">
        <f ca="1">AVERAGEIFS(Estimates_T1[Error],Estimates_T1[T / V],"Validation")</f>
        <v>5.1338366044614512</v>
      </c>
      <c r="R9" s="2"/>
      <c r="T9"/>
    </row>
    <row r="10" spans="1:21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1" x14ac:dyDescent="0.3">
      <c r="B11" s="11" t="s">
        <v>15</v>
      </c>
      <c r="C11" s="3">
        <f ca="1">SUMPRODUCT(F61:F120,G61:G120)/SUMSQ(F61:F120)</f>
        <v>20.078285555289266</v>
      </c>
      <c r="G11"/>
      <c r="H11" s="2"/>
      <c r="I11"/>
      <c r="J11"/>
      <c r="K11"/>
      <c r="L11"/>
      <c r="M11" s="9"/>
      <c r="N11"/>
      <c r="O11" s="39"/>
      <c r="P11" s="2"/>
      <c r="R11" s="2"/>
      <c r="T11"/>
    </row>
    <row r="12" spans="1:21" x14ac:dyDescent="0.3">
      <c r="B12" s="12" t="s">
        <v>14</v>
      </c>
      <c r="C12" s="3">
        <v>0</v>
      </c>
      <c r="N12" s="15"/>
      <c r="O12" s="2"/>
      <c r="P12" s="2"/>
      <c r="R12" s="2"/>
      <c r="T12"/>
    </row>
    <row r="13" spans="1:21" ht="16.2" x14ac:dyDescent="0.3">
      <c r="B13" s="13" t="s">
        <v>31</v>
      </c>
      <c r="C13" s="7">
        <f ca="1">1-SUMSQ(K61:K120)/SUMSQ(L61:L120)</f>
        <v>0.94924585781409632</v>
      </c>
      <c r="N13" s="5"/>
      <c r="R13" s="15"/>
      <c r="T13"/>
    </row>
    <row r="14" spans="1:21" x14ac:dyDescent="0.3">
      <c r="N14" s="5"/>
      <c r="O14" s="5"/>
      <c r="P14" s="5"/>
      <c r="Q14" s="5"/>
      <c r="R14" s="5"/>
      <c r="S14" s="5"/>
      <c r="T14"/>
    </row>
    <row r="15" spans="1:21" x14ac:dyDescent="0.3">
      <c r="B15" s="51" t="s">
        <v>39</v>
      </c>
      <c r="N15" s="40"/>
      <c r="O15" s="16" t="s">
        <v>17</v>
      </c>
      <c r="P15" s="16" t="s">
        <v>18</v>
      </c>
      <c r="Q15" s="17">
        <v>-0.1</v>
      </c>
      <c r="R15" s="17">
        <v>-0.2</v>
      </c>
      <c r="S15" s="17">
        <v>0.1</v>
      </c>
      <c r="T15" s="17">
        <v>0.2</v>
      </c>
      <c r="U15" s="15"/>
    </row>
    <row r="16" spans="1:21" ht="15.6" x14ac:dyDescent="0.35">
      <c r="B16" s="14" t="s">
        <v>40</v>
      </c>
      <c r="C16" s="14" t="s">
        <v>41</v>
      </c>
      <c r="N16" s="40"/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5"/>
    </row>
    <row r="17" spans="1:27" x14ac:dyDescent="0.3">
      <c r="B17" s="10">
        <v>6.5</v>
      </c>
      <c r="C17" s="10">
        <f ca="1">B17*C11</f>
        <v>130.50885610938022</v>
      </c>
      <c r="N17" s="40"/>
      <c r="O17" s="16">
        <v>1000</v>
      </c>
      <c r="P17" s="16">
        <f>O17</f>
        <v>1000</v>
      </c>
      <c r="Q17" s="16">
        <f>0.9*O17</f>
        <v>900</v>
      </c>
      <c r="R17" s="16">
        <f>0.8*O17</f>
        <v>800</v>
      </c>
      <c r="S17" s="16">
        <f>1.1*O17</f>
        <v>1100</v>
      </c>
      <c r="T17" s="16">
        <f>1.2*O17</f>
        <v>1200</v>
      </c>
      <c r="U17" s="15"/>
    </row>
    <row r="18" spans="1:27" x14ac:dyDescent="0.3">
      <c r="B18" s="7">
        <v>19.3</v>
      </c>
      <c r="C18" s="7">
        <f ca="1">B18*C11</f>
        <v>387.51091121708288</v>
      </c>
      <c r="N18" s="40"/>
      <c r="O18" s="15"/>
      <c r="P18" s="15"/>
      <c r="Q18" s="15"/>
      <c r="R18" s="15"/>
      <c r="S18" s="15"/>
      <c r="T18" s="15"/>
      <c r="U18" s="15"/>
    </row>
    <row r="19" spans="1:27" x14ac:dyDescent="0.3">
      <c r="N19" s="40"/>
      <c r="O19" s="5"/>
      <c r="P19" s="5"/>
      <c r="Q19" s="5"/>
      <c r="R19" s="5"/>
      <c r="S19" s="5"/>
      <c r="T19" s="5"/>
      <c r="U19" s="5"/>
    </row>
    <row r="20" spans="1:27" x14ac:dyDescent="0.3">
      <c r="N20" s="40"/>
      <c r="O20" s="5"/>
      <c r="P20" s="5"/>
      <c r="Q20" s="5"/>
      <c r="R20" s="5"/>
      <c r="S20" s="5"/>
      <c r="T20" s="5"/>
      <c r="U20" s="41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11</v>
      </c>
      <c r="B22" s="3">
        <v>170</v>
      </c>
      <c r="C22" s="3" t="s">
        <v>9</v>
      </c>
      <c r="D22" s="3">
        <v>1</v>
      </c>
      <c r="E22" s="3">
        <v>2</v>
      </c>
      <c r="F22" s="3">
        <v>12.414593957682301</v>
      </c>
      <c r="G22" s="3">
        <v>251.89549266775174</v>
      </c>
      <c r="H22" s="3">
        <v>20.290272362220573</v>
      </c>
      <c r="I22" s="3" t="str">
        <f>IF(ROWS($I$22:I22)&lt;=n_T,"Training","Validation")</f>
        <v>Training</v>
      </c>
      <c r="J22" s="3">
        <f t="shared" ref="J22:J57" ca="1" si="0">RAND()</f>
        <v>1.8387320727638934E-2</v>
      </c>
      <c r="O22" s="3">
        <f>Data_T1[[#This Row],[A_q]]</f>
        <v>251.89549266775174</v>
      </c>
      <c r="P22" s="3">
        <f ca="1">Data_T1[[#This Row],[A_T]]*$C$11</f>
        <v>249.26376253531396</v>
      </c>
      <c r="Q22" s="3" t="str">
        <f>Data_T1[[#This Row],[T / V]]</f>
        <v>Training</v>
      </c>
      <c r="R22" s="3">
        <f ca="1">ABS((Estimates_T1[[#This Row],[A_q predicted (b=0)]]-Estimates_T1[[#This Row],[A_q measured]])/Estimates_T1[[#This Row],[A_q measured]])*100</f>
        <v>1.0447706326802018</v>
      </c>
      <c r="V22" s="2"/>
    </row>
    <row r="23" spans="1:27" x14ac:dyDescent="0.3">
      <c r="A23" s="3" t="s">
        <v>11</v>
      </c>
      <c r="B23" s="3">
        <v>170</v>
      </c>
      <c r="C23" s="3" t="s">
        <v>9</v>
      </c>
      <c r="D23" s="3">
        <v>0.5</v>
      </c>
      <c r="E23" s="3">
        <v>2</v>
      </c>
      <c r="F23" s="3">
        <v>11.776659612500808</v>
      </c>
      <c r="G23" s="3">
        <v>233.47361453749977</v>
      </c>
      <c r="H23" s="3">
        <v>19.825113590756231</v>
      </c>
      <c r="I23" s="3" t="str">
        <f>IF(ROWS($I$22:I23)&lt;=n_T,"Training","Validation")</f>
        <v>Training</v>
      </c>
      <c r="J23" s="3">
        <f t="shared" ca="1" si="0"/>
        <v>0.21823828129505418</v>
      </c>
      <c r="O23" s="3">
        <f>Data_T1[[#This Row],[A_q]]</f>
        <v>233.47361453749977</v>
      </c>
      <c r="P23" s="3">
        <f ca="1">Data_T1[[#This Row],[A_T]]*$C$11</f>
        <v>236.45513458723346</v>
      </c>
      <c r="Q23" s="3" t="str">
        <f>Data_T1[[#This Row],[T / V]]</f>
        <v>Training</v>
      </c>
      <c r="R23" s="3">
        <f ca="1">ABS((Estimates_T1[[#This Row],[A_q predicted (b=0)]]-Estimates_T1[[#This Row],[A_q measured]])/Estimates_T1[[#This Row],[A_q measured]])*100</f>
        <v>1.2770265520752482</v>
      </c>
    </row>
    <row r="24" spans="1:27" x14ac:dyDescent="0.3">
      <c r="A24" s="3" t="s">
        <v>8</v>
      </c>
      <c r="B24" s="3">
        <v>170</v>
      </c>
      <c r="C24" s="3" t="s">
        <v>9</v>
      </c>
      <c r="D24" s="3">
        <v>0.5</v>
      </c>
      <c r="E24" s="3">
        <v>1</v>
      </c>
      <c r="F24" s="3">
        <v>9.9350536485328842</v>
      </c>
      <c r="G24" s="3">
        <v>186.1133247973641</v>
      </c>
      <c r="H24" s="3">
        <v>18.732996456928802</v>
      </c>
      <c r="I24" s="3" t="str">
        <f>IF(ROWS($I$22:I24)&lt;=n_T,"Training","Validation")</f>
        <v>Training</v>
      </c>
      <c r="J24" s="3">
        <f t="shared" ca="1" si="0"/>
        <v>0.10453672632685618</v>
      </c>
      <c r="O24" s="3">
        <f>Data_T1[[#This Row],[A_q]]</f>
        <v>186.1133247973641</v>
      </c>
      <c r="P24" s="3">
        <f ca="1">Data_T1[[#This Row],[A_T]]*$C$11</f>
        <v>199.47884416236172</v>
      </c>
      <c r="Q24" s="3" t="str">
        <f>Data_T1[[#This Row],[T / V]]</f>
        <v>Training</v>
      </c>
      <c r="R24" s="3">
        <f ca="1">ABS((Estimates_T1[[#This Row],[A_q predicted (b=0)]]-Estimates_T1[[#This Row],[A_q measured]])/Estimates_T1[[#This Row],[A_q measured]])*100</f>
        <v>7.1813876731016943</v>
      </c>
    </row>
    <row r="25" spans="1:27" x14ac:dyDescent="0.3">
      <c r="A25" s="3" t="s">
        <v>8</v>
      </c>
      <c r="B25" s="3">
        <v>170</v>
      </c>
      <c r="C25" s="3" t="s">
        <v>10</v>
      </c>
      <c r="D25" s="3">
        <v>1</v>
      </c>
      <c r="E25" s="3">
        <v>2</v>
      </c>
      <c r="F25" s="3">
        <v>9.3620263278695397</v>
      </c>
      <c r="G25" s="3">
        <v>159.24805774971134</v>
      </c>
      <c r="H25" s="3">
        <v>17.009998922525028</v>
      </c>
      <c r="I25" s="3" t="str">
        <f>IF(ROWS($I$22:I25)&lt;=n_T,"Training","Validation")</f>
        <v>Training</v>
      </c>
      <c r="J25" s="3">
        <f t="shared" ca="1" si="0"/>
        <v>0.75719701085230351</v>
      </c>
      <c r="O25" s="3">
        <f>Data_T1[[#This Row],[A_q]]</f>
        <v>159.24805774971134</v>
      </c>
      <c r="P25" s="3">
        <f ca="1">Data_T1[[#This Row],[A_T]]*$C$11</f>
        <v>187.97343798710079</v>
      </c>
      <c r="Q25" s="3" t="str">
        <f>Data_T1[[#This Row],[T / V]]</f>
        <v>Training</v>
      </c>
      <c r="R25" s="3">
        <f ca="1">ABS((Estimates_T1[[#This Row],[A_q predicted (b=0)]]-Estimates_T1[[#This Row],[A_q measured]])/Estimates_T1[[#This Row],[A_q measured]])*100</f>
        <v>18.038135374019358</v>
      </c>
    </row>
    <row r="26" spans="1:27" x14ac:dyDescent="0.3">
      <c r="A26" s="3" t="s">
        <v>11</v>
      </c>
      <c r="B26" s="3">
        <v>170</v>
      </c>
      <c r="C26" s="3" t="s">
        <v>9</v>
      </c>
      <c r="D26" s="3">
        <v>1</v>
      </c>
      <c r="E26" s="3">
        <v>3</v>
      </c>
      <c r="F26" s="3">
        <v>12.285332570093937</v>
      </c>
      <c r="G26" s="3">
        <v>256.57732728687955</v>
      </c>
      <c r="H26" s="3">
        <v>20.884849947934107</v>
      </c>
      <c r="I26" s="3" t="str">
        <f>IF(ROWS($I$22:I26)&lt;=n_T,"Training","Validation")</f>
        <v>Training</v>
      </c>
      <c r="J26" s="3">
        <f t="shared" ca="1" si="0"/>
        <v>0.46469079842522998</v>
      </c>
      <c r="O26" s="3">
        <f>Data_T1[[#This Row],[A_q]]</f>
        <v>256.57732728687955</v>
      </c>
      <c r="P26" s="3">
        <f ca="1">Data_T1[[#This Row],[A_T]]*$C$11</f>
        <v>246.66841548404184</v>
      </c>
      <c r="Q26" s="3" t="str">
        <f>Data_T1[[#This Row],[T / V]]</f>
        <v>Training</v>
      </c>
      <c r="R26" s="3">
        <f ca="1">ABS((Estimates_T1[[#This Row],[A_q predicted (b=0)]]-Estimates_T1[[#This Row],[A_q measured]])/Estimates_T1[[#This Row],[A_q measured]])*100</f>
        <v>3.8619592415344384</v>
      </c>
    </row>
    <row r="27" spans="1:27" x14ac:dyDescent="0.3">
      <c r="A27" s="3" t="s">
        <v>12</v>
      </c>
      <c r="B27" s="3">
        <v>170</v>
      </c>
      <c r="C27" s="3" t="s">
        <v>10</v>
      </c>
      <c r="D27" s="3">
        <v>1</v>
      </c>
      <c r="E27" s="3">
        <v>3</v>
      </c>
      <c r="F27" s="3">
        <v>7.7994267951314544</v>
      </c>
      <c r="G27" s="3">
        <v>182.63889794765294</v>
      </c>
      <c r="H27" s="3">
        <v>23.416964187888716</v>
      </c>
      <c r="I27" s="3" t="str">
        <f>IF(ROWS($I$22:I27)&lt;=n_T,"Training","Validation")</f>
        <v>Training</v>
      </c>
      <c r="J27" s="3">
        <f t="shared" ca="1" si="0"/>
        <v>0.66026449135251819</v>
      </c>
      <c r="O27" s="3">
        <f>Data_T1[[#This Row],[A_q]]</f>
        <v>182.63889794765294</v>
      </c>
      <c r="P27" s="3">
        <f ca="1">Data_T1[[#This Row],[A_T]]*$C$11</f>
        <v>156.59911836022394</v>
      </c>
      <c r="Q27" s="3" t="str">
        <f>Data_T1[[#This Row],[T / V]]</f>
        <v>Training</v>
      </c>
      <c r="R27" s="3">
        <f ca="1">ABS((Estimates_T1[[#This Row],[A_q predicted (b=0)]]-Estimates_T1[[#This Row],[A_q measured]])/Estimates_T1[[#This Row],[A_q measured]])*100</f>
        <v>14.257521196219871</v>
      </c>
    </row>
    <row r="28" spans="1:27" x14ac:dyDescent="0.3">
      <c r="A28" s="3" t="s">
        <v>8</v>
      </c>
      <c r="B28" s="3">
        <v>170</v>
      </c>
      <c r="C28" s="3" t="s">
        <v>10</v>
      </c>
      <c r="D28" s="3">
        <v>1</v>
      </c>
      <c r="E28" s="3">
        <v>3</v>
      </c>
      <c r="F28" s="3">
        <v>7.872829771852226</v>
      </c>
      <c r="G28" s="3">
        <v>156.15565369073173</v>
      </c>
      <c r="H28" s="3">
        <v>19.834755509262493</v>
      </c>
      <c r="I28" s="3" t="str">
        <f>IF(ROWS($I$22:I28)&lt;=n_T,"Training","Validation")</f>
        <v>Training</v>
      </c>
      <c r="J28" s="3">
        <f t="shared" ca="1" si="0"/>
        <v>0.43265183348970493</v>
      </c>
      <c r="O28" s="3">
        <f>Data_T1[[#This Row],[A_q]]</f>
        <v>156.15565369073173</v>
      </c>
      <c r="P28" s="3">
        <f ca="1">Data_T1[[#This Row],[A_T]]*$C$11</f>
        <v>158.07292428743185</v>
      </c>
      <c r="Q28" s="3" t="str">
        <f>Data_T1[[#This Row],[T / V]]</f>
        <v>Training</v>
      </c>
      <c r="R28" s="3">
        <f ca="1">ABS((Estimates_T1[[#This Row],[A_q predicted (b=0)]]-Estimates_T1[[#This Row],[A_q measured]])/Estimates_T1[[#This Row],[A_q measured]])*100</f>
        <v>1.2277945443443885</v>
      </c>
    </row>
    <row r="29" spans="1:27" x14ac:dyDescent="0.3">
      <c r="A29" s="3" t="s">
        <v>12</v>
      </c>
      <c r="B29" s="3">
        <v>170</v>
      </c>
      <c r="C29" s="3" t="s">
        <v>10</v>
      </c>
      <c r="D29" s="3">
        <v>1</v>
      </c>
      <c r="E29" s="3">
        <v>1</v>
      </c>
      <c r="F29" s="3">
        <v>13.042056671598727</v>
      </c>
      <c r="G29" s="3">
        <v>266.10625346834951</v>
      </c>
      <c r="H29" s="3">
        <v>20.403703201799502</v>
      </c>
      <c r="I29" s="3" t="str">
        <f>IF(ROWS($I$22:I29)&lt;=n_T,"Training","Validation")</f>
        <v>Training</v>
      </c>
      <c r="J29" s="3">
        <f t="shared" ca="1" si="0"/>
        <v>0.71263980820165762</v>
      </c>
      <c r="O29" s="3">
        <f>Data_T1[[#This Row],[A_q]]</f>
        <v>266.10625346834951</v>
      </c>
      <c r="P29" s="3">
        <f ca="1">Data_T1[[#This Row],[A_T]]*$C$11</f>
        <v>261.86213808062473</v>
      </c>
      <c r="Q29" s="3" t="str">
        <f>Data_T1[[#This Row],[T / V]]</f>
        <v>Training</v>
      </c>
      <c r="R29" s="3">
        <f ca="1">ABS((Estimates_T1[[#This Row],[A_q predicted (b=0)]]-Estimates_T1[[#This Row],[A_q measured]])/Estimates_T1[[#This Row],[A_q measured]])*100</f>
        <v>1.5948950212211259</v>
      </c>
    </row>
    <row r="30" spans="1:27" x14ac:dyDescent="0.3">
      <c r="A30" s="3" t="s">
        <v>8</v>
      </c>
      <c r="B30" s="3">
        <v>170</v>
      </c>
      <c r="C30" s="3" t="s">
        <v>10</v>
      </c>
      <c r="D30" s="3">
        <v>0.5</v>
      </c>
      <c r="E30" s="3">
        <v>1</v>
      </c>
      <c r="F30" s="3">
        <v>8.0972999999946342</v>
      </c>
      <c r="G30" s="3">
        <v>166.90619999999905</v>
      </c>
      <c r="H30" s="3">
        <v>20.612574561904541</v>
      </c>
      <c r="I30" s="3" t="str">
        <f>IF(ROWS($I$22:I30)&lt;=n_T,"Training","Validation")</f>
        <v>Training</v>
      </c>
      <c r="J30" s="3">
        <f t="shared" ca="1" si="0"/>
        <v>0.18751245733710986</v>
      </c>
      <c r="O30" s="3">
        <f>Data_T1[[#This Row],[A_q]]</f>
        <v>166.90619999999905</v>
      </c>
      <c r="P30" s="3">
        <f ca="1">Data_T1[[#This Row],[A_T]]*$C$11</f>
        <v>162.57990162673605</v>
      </c>
      <c r="Q30" s="3" t="str">
        <f>Data_T1[[#This Row],[T / V]]</f>
        <v>Training</v>
      </c>
      <c r="R30" s="3">
        <f ca="1">ABS((Estimates_T1[[#This Row],[A_q predicted (b=0)]]-Estimates_T1[[#This Row],[A_q measured]])/Estimates_T1[[#This Row],[A_q measured]])*100</f>
        <v>2.5920537243451864</v>
      </c>
    </row>
    <row r="31" spans="1:27" x14ac:dyDescent="0.3">
      <c r="A31" s="3" t="s">
        <v>12</v>
      </c>
      <c r="B31" s="3">
        <v>170</v>
      </c>
      <c r="C31" s="3" t="s">
        <v>9</v>
      </c>
      <c r="D31" s="3">
        <v>1</v>
      </c>
      <c r="E31" s="3">
        <v>3</v>
      </c>
      <c r="F31" s="3">
        <v>17.283599999999968</v>
      </c>
      <c r="G31" s="3">
        <v>360.78210000000007</v>
      </c>
      <c r="H31" s="3">
        <v>20.874244948969007</v>
      </c>
      <c r="I31" s="3" t="str">
        <f>IF(ROWS($I$22:I31)&lt;=n_T,"Training","Validation")</f>
        <v>Training</v>
      </c>
      <c r="J31" s="3">
        <f t="shared" ca="1" si="0"/>
        <v>0.79032804424936121</v>
      </c>
      <c r="O31" s="3">
        <f>Data_T1[[#This Row],[A_q]]</f>
        <v>360.78210000000007</v>
      </c>
      <c r="P31" s="3">
        <f ca="1">Data_T1[[#This Row],[A_T]]*$C$11</f>
        <v>347.02505622339692</v>
      </c>
      <c r="Q31" s="3" t="str">
        <f>Data_T1[[#This Row],[T / V]]</f>
        <v>Training</v>
      </c>
      <c r="R31" s="3">
        <f ca="1">ABS((Estimates_T1[[#This Row],[A_q predicted (b=0)]]-Estimates_T1[[#This Row],[A_q measured]])/Estimates_T1[[#This Row],[A_q measured]])*100</f>
        <v>3.8131170522603952</v>
      </c>
    </row>
    <row r="32" spans="1:27" x14ac:dyDescent="0.3">
      <c r="A32" s="3" t="s">
        <v>11</v>
      </c>
      <c r="B32" s="3">
        <v>170</v>
      </c>
      <c r="C32" s="3" t="s">
        <v>9</v>
      </c>
      <c r="D32" s="3">
        <v>1</v>
      </c>
      <c r="E32" s="3">
        <v>1</v>
      </c>
      <c r="F32" s="3">
        <v>11.990650156666428</v>
      </c>
      <c r="G32" s="3">
        <v>261.17692526275397</v>
      </c>
      <c r="H32" s="3">
        <v>21.781715073852585</v>
      </c>
      <c r="I32" s="3" t="str">
        <f>IF(ROWS($I$22:I32)&lt;=n_T,"Training","Validation")</f>
        <v>Training</v>
      </c>
      <c r="J32" s="3">
        <f t="shared" ca="1" si="0"/>
        <v>0.44110965845278227</v>
      </c>
      <c r="O32" s="3">
        <f>Data_T1[[#This Row],[A_q]]</f>
        <v>261.17692526275397</v>
      </c>
      <c r="P32" s="3">
        <f ca="1">Data_T1[[#This Row],[A_T]]*$C$11</f>
        <v>240.75169783912253</v>
      </c>
      <c r="Q32" s="3" t="str">
        <f>Data_T1[[#This Row],[T / V]]</f>
        <v>Training</v>
      </c>
      <c r="R32" s="3">
        <f ca="1">ABS((Estimates_T1[[#This Row],[A_q predicted (b=0)]]-Estimates_T1[[#This Row],[A_q measured]])/Estimates_T1[[#This Row],[A_q measured]])*100</f>
        <v>7.8204563450936115</v>
      </c>
    </row>
    <row r="33" spans="1:18" x14ac:dyDescent="0.3">
      <c r="A33" s="3" t="s">
        <v>8</v>
      </c>
      <c r="B33" s="3">
        <v>170</v>
      </c>
      <c r="C33" s="3" t="s">
        <v>9</v>
      </c>
      <c r="D33" s="3">
        <v>1</v>
      </c>
      <c r="E33" s="3">
        <v>3</v>
      </c>
      <c r="F33" s="3">
        <v>11.346010588618963</v>
      </c>
      <c r="G33" s="3">
        <v>205.62869365733505</v>
      </c>
      <c r="H33" s="3">
        <v>18.123435726703669</v>
      </c>
      <c r="I33" s="3" t="str">
        <f>IF(ROWS($I$22:I33)&lt;=n_T,"Training","Validation")</f>
        <v>Training</v>
      </c>
      <c r="J33" s="3">
        <f t="shared" ca="1" si="0"/>
        <v>0.71774351340342302</v>
      </c>
      <c r="O33" s="3">
        <f>Data_T1[[#This Row],[A_q]]</f>
        <v>205.62869365733505</v>
      </c>
      <c r="P33" s="3">
        <f ca="1">Data_T1[[#This Row],[A_T]]*$C$11</f>
        <v>227.8084405116272</v>
      </c>
      <c r="Q33" s="3" t="str">
        <f>Data_T1[[#This Row],[T / V]]</f>
        <v>Training</v>
      </c>
      <c r="R33" s="3">
        <f ca="1">ABS((Estimates_T1[[#This Row],[A_q predicted (b=0)]]-Estimates_T1[[#This Row],[A_q measured]])/Estimates_T1[[#This Row],[A_q measured]])*100</f>
        <v>10.786309274158523</v>
      </c>
    </row>
    <row r="34" spans="1:18" x14ac:dyDescent="0.3">
      <c r="A34" s="3" t="s">
        <v>11</v>
      </c>
      <c r="B34" s="3">
        <v>170</v>
      </c>
      <c r="C34" s="3" t="s">
        <v>10</v>
      </c>
      <c r="D34" s="3">
        <v>0.5</v>
      </c>
      <c r="E34" s="3">
        <v>2</v>
      </c>
      <c r="F34" s="3">
        <v>12.778499999994182</v>
      </c>
      <c r="G34" s="3">
        <v>247.45169999999919</v>
      </c>
      <c r="H34" s="3">
        <v>19.364690691404459</v>
      </c>
      <c r="I34" s="3" t="str">
        <f>IF(ROWS($I$22:I34)&lt;=n_T,"Training","Validation")</f>
        <v>Training</v>
      </c>
      <c r="J34" s="3">
        <f t="shared" ca="1" si="0"/>
        <v>2.7799593408254442E-2</v>
      </c>
      <c r="O34" s="3">
        <f>Data_T1[[#This Row],[A_q]]</f>
        <v>247.45169999999919</v>
      </c>
      <c r="P34" s="3">
        <f ca="1">Data_T1[[#This Row],[A_T]]*$C$11</f>
        <v>256.57037196814707</v>
      </c>
      <c r="Q34" s="3" t="str">
        <f>Data_T1[[#This Row],[T / V]]</f>
        <v>Training</v>
      </c>
      <c r="R34" s="3">
        <f ca="1">ABS((Estimates_T1[[#This Row],[A_q predicted (b=0)]]-Estimates_T1[[#This Row],[A_q measured]])/Estimates_T1[[#This Row],[A_q measured]])*100</f>
        <v>3.6850310457143389</v>
      </c>
    </row>
    <row r="35" spans="1:18" x14ac:dyDescent="0.3">
      <c r="A35" s="3" t="s">
        <v>11</v>
      </c>
      <c r="B35" s="3">
        <v>170</v>
      </c>
      <c r="C35" s="3" t="s">
        <v>10</v>
      </c>
      <c r="D35" s="3">
        <v>1</v>
      </c>
      <c r="E35" s="3">
        <v>3</v>
      </c>
      <c r="F35" s="3">
        <v>11.550733538461678</v>
      </c>
      <c r="G35" s="3">
        <v>217.63550879854768</v>
      </c>
      <c r="H35" s="3">
        <v>18.84170456134791</v>
      </c>
      <c r="I35" s="3" t="str">
        <f>IF(ROWS($I$22:I35)&lt;=n_T,"Training","Validation")</f>
        <v>Training</v>
      </c>
      <c r="J35" s="3">
        <f t="shared" ca="1" si="0"/>
        <v>4.851702773623956E-2</v>
      </c>
      <c r="O35" s="3">
        <f>Data_T1[[#This Row],[A_q]]</f>
        <v>217.63550879854768</v>
      </c>
      <c r="P35" s="3">
        <f ca="1">Data_T1[[#This Row],[A_T]]*$C$11</f>
        <v>231.91892635829038</v>
      </c>
      <c r="Q35" s="3" t="str">
        <f>Data_T1[[#This Row],[T / V]]</f>
        <v>Training</v>
      </c>
      <c r="R35" s="3">
        <f ca="1">ABS((Estimates_T1[[#This Row],[A_q predicted (b=0)]]-Estimates_T1[[#This Row],[A_q measured]])/Estimates_T1[[#This Row],[A_q measured]])*100</f>
        <v>6.5629995944108632</v>
      </c>
    </row>
    <row r="36" spans="1:18" x14ac:dyDescent="0.3">
      <c r="A36" s="3" t="s">
        <v>12</v>
      </c>
      <c r="B36" s="3">
        <v>170</v>
      </c>
      <c r="C36" s="3" t="s">
        <v>10</v>
      </c>
      <c r="D36" s="3">
        <v>1</v>
      </c>
      <c r="E36" s="3">
        <v>2</v>
      </c>
      <c r="F36" s="3">
        <v>11.275199999993378</v>
      </c>
      <c r="G36" s="3">
        <v>242.68199999999433</v>
      </c>
      <c r="H36" s="3">
        <v>21.523520647096007</v>
      </c>
      <c r="I36" s="3" t="str">
        <f>IF(ROWS($I$22:I36)&lt;=n_T,"Training","Validation")</f>
        <v>Training</v>
      </c>
      <c r="J36" s="3">
        <f t="shared" ca="1" si="0"/>
        <v>0.56074454500558746</v>
      </c>
      <c r="O36" s="3">
        <f>Data_T1[[#This Row],[A_q]]</f>
        <v>242.68199999999433</v>
      </c>
      <c r="P36" s="3">
        <f ca="1">Data_T1[[#This Row],[A_T]]*$C$11</f>
        <v>226.38668529286457</v>
      </c>
      <c r="Q36" s="3" t="str">
        <f>Data_T1[[#This Row],[T / V]]</f>
        <v>Training</v>
      </c>
      <c r="R36" s="3">
        <f ca="1">ABS((Estimates_T1[[#This Row],[A_q predicted (b=0)]]-Estimates_T1[[#This Row],[A_q measured]])/Estimates_T1[[#This Row],[A_q measured]])*100</f>
        <v>6.714677935376395</v>
      </c>
    </row>
    <row r="37" spans="1:18" x14ac:dyDescent="0.3">
      <c r="A37" s="3" t="s">
        <v>8</v>
      </c>
      <c r="B37" s="3">
        <v>170</v>
      </c>
      <c r="C37" s="3" t="s">
        <v>9</v>
      </c>
      <c r="D37" s="3">
        <v>1</v>
      </c>
      <c r="E37" s="3">
        <v>2</v>
      </c>
      <c r="F37" s="3">
        <v>9.2355319538814236</v>
      </c>
      <c r="G37" s="3">
        <v>177.19746032724149</v>
      </c>
      <c r="H37" s="3">
        <v>19.186492040966908</v>
      </c>
      <c r="I37" s="3" t="str">
        <f>IF(ROWS($I$22:I37)&lt;=n_T,"Training","Validation")</f>
        <v>Training</v>
      </c>
      <c r="J37" s="3">
        <f t="shared" ca="1" si="0"/>
        <v>0.36208439271980908</v>
      </c>
      <c r="O37" s="3">
        <f>Data_T1[[#This Row],[A_q]]</f>
        <v>177.19746032724149</v>
      </c>
      <c r="P37" s="3">
        <f ca="1">Data_T1[[#This Row],[A_T]]*$C$11</f>
        <v>185.43364782502985</v>
      </c>
      <c r="Q37" s="3" t="str">
        <f>Data_T1[[#This Row],[T / V]]</f>
        <v>Training</v>
      </c>
      <c r="R37" s="3">
        <f ca="1">ABS((Estimates_T1[[#This Row],[A_q predicted (b=0)]]-Estimates_T1[[#This Row],[A_q measured]])/Estimates_T1[[#This Row],[A_q measured]])*100</f>
        <v>4.6480279585148052</v>
      </c>
    </row>
    <row r="38" spans="1:18" x14ac:dyDescent="0.3">
      <c r="A38" s="3" t="s">
        <v>8</v>
      </c>
      <c r="B38" s="3">
        <v>170</v>
      </c>
      <c r="C38" s="3" t="s">
        <v>9</v>
      </c>
      <c r="D38" s="3">
        <v>0.5</v>
      </c>
      <c r="E38" s="3">
        <v>3</v>
      </c>
      <c r="F38" s="3">
        <v>7.7242423058830347</v>
      </c>
      <c r="G38" s="3">
        <v>178.55986063999981</v>
      </c>
      <c r="H38" s="3">
        <v>23.116812441785104</v>
      </c>
      <c r="I38" s="3" t="str">
        <f>IF(ROWS($I$22:I38)&lt;=n_T,"Training","Validation")</f>
        <v>Training</v>
      </c>
      <c r="J38" s="3">
        <f t="shared" ca="1" si="0"/>
        <v>0.22304621163142213</v>
      </c>
      <c r="O38" s="3">
        <f>Data_T1[[#This Row],[A_q]]</f>
        <v>178.55986063999981</v>
      </c>
      <c r="P38" s="3">
        <f ca="1">Data_T1[[#This Row],[A_T]]*$C$11</f>
        <v>155.08954271576559</v>
      </c>
      <c r="Q38" s="3" t="str">
        <f>Data_T1[[#This Row],[T / V]]</f>
        <v>Training</v>
      </c>
      <c r="R38" s="3">
        <f ca="1">ABS((Estimates_T1[[#This Row],[A_q predicted (b=0)]]-Estimates_T1[[#This Row],[A_q measured]])/Estimates_T1[[#This Row],[A_q measured]])*100</f>
        <v>13.144229526227887</v>
      </c>
    </row>
    <row r="39" spans="1:18" x14ac:dyDescent="0.3">
      <c r="A39" s="3" t="s">
        <v>11</v>
      </c>
      <c r="B39" s="3">
        <v>170</v>
      </c>
      <c r="C39" s="3" t="s">
        <v>9</v>
      </c>
      <c r="D39" s="3">
        <v>0.5</v>
      </c>
      <c r="E39" s="3">
        <v>3</v>
      </c>
      <c r="F39" s="3">
        <v>14.158822452174912</v>
      </c>
      <c r="G39" s="3">
        <v>270.25498746086953</v>
      </c>
      <c r="H39" s="3">
        <v>19.087391509691273</v>
      </c>
      <c r="I39" s="3" t="str">
        <f>IF(ROWS($I$22:I39)&lt;=n_T,"Training","Validation")</f>
        <v>Training</v>
      </c>
      <c r="J39" s="3">
        <f t="shared" ca="1" si="0"/>
        <v>0.6239868899708364</v>
      </c>
      <c r="O39" s="3">
        <f>Data_T1[[#This Row],[A_q]]</f>
        <v>270.25498746086953</v>
      </c>
      <c r="P39" s="3">
        <f ca="1">Data_T1[[#This Row],[A_T]]*$C$11</f>
        <v>284.28488032140888</v>
      </c>
      <c r="Q39" s="3" t="str">
        <f>Data_T1[[#This Row],[T / V]]</f>
        <v>Training</v>
      </c>
      <c r="R39" s="3">
        <f ca="1">ABS((Estimates_T1[[#This Row],[A_q predicted (b=0)]]-Estimates_T1[[#This Row],[A_q measured]])/Estimates_T1[[#This Row],[A_q measured]])*100</f>
        <v>5.1913539107472531</v>
      </c>
    </row>
    <row r="40" spans="1:18" x14ac:dyDescent="0.3">
      <c r="A40" s="3" t="s">
        <v>8</v>
      </c>
      <c r="B40" s="3">
        <v>170</v>
      </c>
      <c r="C40" s="3" t="s">
        <v>10</v>
      </c>
      <c r="D40" s="3">
        <v>0.5</v>
      </c>
      <c r="E40" s="3">
        <v>2</v>
      </c>
      <c r="F40" s="3">
        <v>6.9327748784655023</v>
      </c>
      <c r="G40" s="3">
        <v>136.08228581679037</v>
      </c>
      <c r="H40" s="3">
        <v>19.62883379344791</v>
      </c>
      <c r="I40" s="3" t="str">
        <f>IF(ROWS($I$22:I40)&lt;=n_T,"Training","Validation")</f>
        <v>Training</v>
      </c>
      <c r="J40" s="3">
        <f t="shared" ca="1" si="0"/>
        <v>0.57127301729039481</v>
      </c>
      <c r="O40" s="3">
        <f>Data_T1[[#This Row],[A_q]]</f>
        <v>136.08228581679037</v>
      </c>
      <c r="P40" s="3">
        <f ca="1">Data_T1[[#This Row],[A_T]]*$C$11</f>
        <v>139.19823370036619</v>
      </c>
      <c r="Q40" s="3" t="str">
        <f>Data_T1[[#This Row],[T / V]]</f>
        <v>Training</v>
      </c>
      <c r="R40" s="3">
        <f ca="1">ABS((Estimates_T1[[#This Row],[A_q predicted (b=0)]]-Estimates_T1[[#This Row],[A_q measured]])/Estimates_T1[[#This Row],[A_q measured]])*100</f>
        <v>2.2897527513396279</v>
      </c>
    </row>
    <row r="41" spans="1:18" x14ac:dyDescent="0.3">
      <c r="A41" s="3" t="s">
        <v>12</v>
      </c>
      <c r="B41" s="3">
        <v>170</v>
      </c>
      <c r="C41" s="3" t="s">
        <v>9</v>
      </c>
      <c r="D41" s="3">
        <v>1</v>
      </c>
      <c r="E41" s="3">
        <v>1</v>
      </c>
      <c r="F41" s="3">
        <v>19.086000000000098</v>
      </c>
      <c r="G41" s="3">
        <v>387.39479999999998</v>
      </c>
      <c r="H41" s="3">
        <v>20.297327884313002</v>
      </c>
      <c r="I41" s="3" t="str">
        <f>IF(ROWS($I$22:I41)&lt;=n_T,"Training","Validation")</f>
        <v>Training</v>
      </c>
      <c r="J41" s="3">
        <f t="shared" ca="1" si="0"/>
        <v>0.3259645490814892</v>
      </c>
      <c r="O41" s="3">
        <f>Data_T1[[#This Row],[A_q]]</f>
        <v>387.39479999999998</v>
      </c>
      <c r="P41" s="3">
        <f ca="1">Data_T1[[#This Row],[A_T]]*$C$11</f>
        <v>383.21415810825289</v>
      </c>
      <c r="Q41" s="3" t="str">
        <f>Data_T1[[#This Row],[T / V]]</f>
        <v>Training</v>
      </c>
      <c r="R41" s="3">
        <f ca="1">ABS((Estimates_T1[[#This Row],[A_q predicted (b=0)]]-Estimates_T1[[#This Row],[A_q measured]])/Estimates_T1[[#This Row],[A_q measured]])*100</f>
        <v>1.0791683036909856</v>
      </c>
    </row>
    <row r="42" spans="1:18" x14ac:dyDescent="0.3">
      <c r="A42" s="3" t="s">
        <v>8</v>
      </c>
      <c r="B42" s="3">
        <v>170</v>
      </c>
      <c r="C42" s="3" t="s">
        <v>9</v>
      </c>
      <c r="D42" s="3">
        <v>0.5</v>
      </c>
      <c r="E42" s="3">
        <v>2</v>
      </c>
      <c r="F42" s="3">
        <v>8.9898000000008071</v>
      </c>
      <c r="G42" s="3">
        <v>184.20239999999984</v>
      </c>
      <c r="H42" s="3">
        <v>20.490155509575661</v>
      </c>
      <c r="I42" s="3" t="str">
        <f>IF(ROWS($I$22:I42)&lt;=n_T,"Training","Validation")</f>
        <v>Training</v>
      </c>
      <c r="J42" s="3">
        <f t="shared" ca="1" si="0"/>
        <v>0.33681929260744836</v>
      </c>
      <c r="O42" s="3">
        <f>Data_T1[[#This Row],[A_q]]</f>
        <v>184.20239999999984</v>
      </c>
      <c r="P42" s="3">
        <f ca="1">Data_T1[[#This Row],[A_T]]*$C$11</f>
        <v>180.49977148495566</v>
      </c>
      <c r="Q42" s="3" t="str">
        <f>Data_T1[[#This Row],[T / V]]</f>
        <v>Training</v>
      </c>
      <c r="R42" s="3">
        <f ca="1">ABS((Estimates_T1[[#This Row],[A_q predicted (b=0)]]-Estimates_T1[[#This Row],[A_q measured]])/Estimates_T1[[#This Row],[A_q measured]])*100</f>
        <v>2.0100870102909547</v>
      </c>
    </row>
    <row r="43" spans="1:18" x14ac:dyDescent="0.3">
      <c r="A43" s="3" t="s">
        <v>12</v>
      </c>
      <c r="B43" s="3">
        <v>170</v>
      </c>
      <c r="C43" s="3" t="s">
        <v>9</v>
      </c>
      <c r="D43" s="3">
        <v>1</v>
      </c>
      <c r="E43" s="3">
        <v>2</v>
      </c>
      <c r="F43" s="3">
        <v>17.790648849835058</v>
      </c>
      <c r="G43" s="3">
        <v>369.31674307917132</v>
      </c>
      <c r="H43" s="3">
        <v>20.759037300800603</v>
      </c>
      <c r="I43" s="3" t="str">
        <f>IF(ROWS($I$22:I43)&lt;=n_T,"Training","Validation")</f>
        <v>Training</v>
      </c>
      <c r="J43" s="3">
        <f t="shared" ca="1" si="0"/>
        <v>0.87907407255548731</v>
      </c>
      <c r="O43" s="3">
        <f>Data_T1[[#This Row],[A_q]]</f>
        <v>369.31674307917132</v>
      </c>
      <c r="P43" s="3">
        <f ca="1">Data_T1[[#This Row],[A_T]]*$C$11</f>
        <v>357.20572782086685</v>
      </c>
      <c r="Q43" s="3" t="str">
        <f>Data_T1[[#This Row],[T / V]]</f>
        <v>Training</v>
      </c>
      <c r="R43" s="3">
        <f ca="1">ABS((Estimates_T1[[#This Row],[A_q predicted (b=0)]]-Estimates_T1[[#This Row],[A_q measured]])/Estimates_T1[[#This Row],[A_q measured]])*100</f>
        <v>3.2793030603836435</v>
      </c>
    </row>
    <row r="44" spans="1:18" x14ac:dyDescent="0.3">
      <c r="A44" s="3" t="s">
        <v>12</v>
      </c>
      <c r="B44" s="3">
        <v>170</v>
      </c>
      <c r="C44" s="3" t="s">
        <v>10</v>
      </c>
      <c r="D44" s="3">
        <v>0.5</v>
      </c>
      <c r="E44" s="3">
        <v>1</v>
      </c>
      <c r="F44" s="3">
        <v>10.128440696018268</v>
      </c>
      <c r="G44" s="3">
        <v>212.52860331422897</v>
      </c>
      <c r="H44" s="3">
        <v>20.983348739730392</v>
      </c>
      <c r="I44" s="3" t="str">
        <f>IF(ROWS($I$22:I44)&lt;=n_T,"Training","Validation")</f>
        <v>Training</v>
      </c>
      <c r="J44" s="3">
        <f t="shared" ca="1" si="0"/>
        <v>0.47325159852116216</v>
      </c>
      <c r="O44" s="3">
        <f>Data_T1[[#This Row],[A_q]]</f>
        <v>212.52860331422897</v>
      </c>
      <c r="P44" s="3">
        <f ca="1">Data_T1[[#This Row],[A_T]]*$C$11</f>
        <v>203.36172452446755</v>
      </c>
      <c r="Q44" s="3" t="str">
        <f>Data_T1[[#This Row],[T / V]]</f>
        <v>Training</v>
      </c>
      <c r="R44" s="3">
        <f ca="1">ABS((Estimates_T1[[#This Row],[A_q predicted (b=0)]]-Estimates_T1[[#This Row],[A_q measured]])/Estimates_T1[[#This Row],[A_q measured]])*100</f>
        <v>4.3132447335608575</v>
      </c>
    </row>
    <row r="45" spans="1:18" x14ac:dyDescent="0.3">
      <c r="A45" s="3" t="s">
        <v>12</v>
      </c>
      <c r="B45" s="3">
        <v>170</v>
      </c>
      <c r="C45" s="3" t="s">
        <v>9</v>
      </c>
      <c r="D45" s="3">
        <v>0.5</v>
      </c>
      <c r="E45" s="3">
        <v>1</v>
      </c>
      <c r="F45" s="3">
        <v>14.747651848983457</v>
      </c>
      <c r="G45" s="3">
        <v>292.58543252599304</v>
      </c>
      <c r="H45" s="3">
        <v>19.839458886206398</v>
      </c>
      <c r="I45" s="3" t="str">
        <f>IF(ROWS($I$22:I45)&lt;=n_T,"Training","Validation")</f>
        <v>Training</v>
      </c>
      <c r="J45" s="3">
        <f t="shared" ca="1" si="0"/>
        <v>0.78083917401040859</v>
      </c>
      <c r="O45" s="3">
        <f>Data_T1[[#This Row],[A_q]]</f>
        <v>292.58543252599304</v>
      </c>
      <c r="P45" s="3">
        <f ca="1">Data_T1[[#This Row],[A_T]]*$C$11</f>
        <v>296.1075650938796</v>
      </c>
      <c r="Q45" s="3" t="str">
        <f>Data_T1[[#This Row],[T / V]]</f>
        <v>Training</v>
      </c>
      <c r="R45" s="3">
        <f ca="1">ABS((Estimates_T1[[#This Row],[A_q predicted (b=0)]]-Estimates_T1[[#This Row],[A_q measured]])/Estimates_T1[[#This Row],[A_q measured]])*100</f>
        <v>1.2037962852349646</v>
      </c>
    </row>
    <row r="46" spans="1:18" x14ac:dyDescent="0.3">
      <c r="A46" s="3" t="s">
        <v>11</v>
      </c>
      <c r="B46" s="3">
        <v>170</v>
      </c>
      <c r="C46" s="3" t="s">
        <v>10</v>
      </c>
      <c r="D46" s="3">
        <v>0.5</v>
      </c>
      <c r="E46" s="3">
        <v>3</v>
      </c>
      <c r="F46" s="3">
        <v>13.394999999995163</v>
      </c>
      <c r="G46" s="3">
        <v>240.30809999999769</v>
      </c>
      <c r="H46" s="3">
        <v>17.940134378505746</v>
      </c>
      <c r="I46" s="3" t="str">
        <f>IF(ROWS($I$22:I46)&lt;=n_T,"Training","Validation")</f>
        <v>Training</v>
      </c>
      <c r="J46" s="3">
        <f t="shared" ca="1" si="0"/>
        <v>0.81093116534664134</v>
      </c>
      <c r="O46" s="3">
        <f>Data_T1[[#This Row],[A_q]]</f>
        <v>240.30809999999769</v>
      </c>
      <c r="P46" s="3">
        <f ca="1">Data_T1[[#This Row],[A_T]]*$C$11</f>
        <v>268.94863501300262</v>
      </c>
      <c r="Q46" s="3" t="str">
        <f>Data_T1[[#This Row],[T / V]]</f>
        <v>Training</v>
      </c>
      <c r="R46" s="3">
        <f ca="1">ABS((Estimates_T1[[#This Row],[A_q predicted (b=0)]]-Estimates_T1[[#This Row],[A_q measured]])/Estimates_T1[[#This Row],[A_q measured]])*100</f>
        <v>11.918256194029746</v>
      </c>
    </row>
    <row r="47" spans="1:18" x14ac:dyDescent="0.3">
      <c r="A47" s="3" t="s">
        <v>8</v>
      </c>
      <c r="B47" s="3">
        <v>170</v>
      </c>
      <c r="C47" s="3" t="s">
        <v>9</v>
      </c>
      <c r="D47" s="3">
        <v>1</v>
      </c>
      <c r="E47" s="3">
        <v>1</v>
      </c>
      <c r="F47" s="3">
        <v>6.9743999999999957</v>
      </c>
      <c r="G47" s="3">
        <v>169.83240000000001</v>
      </c>
      <c r="H47" s="3">
        <v>24.350825877494856</v>
      </c>
      <c r="I47" s="3" t="str">
        <f>IF(ROWS($I$22:I47)&lt;=n_T,"Training","Validation")</f>
        <v>Validation</v>
      </c>
      <c r="J47" s="3">
        <f t="shared" ca="1" si="0"/>
        <v>0.13854594648215157</v>
      </c>
      <c r="O47" s="3">
        <f>Data_T1[[#This Row],[A_q]]</f>
        <v>169.83240000000001</v>
      </c>
      <c r="P47" s="3">
        <f ca="1">Data_T1[[#This Row],[A_T]]*$C$11</f>
        <v>140.03399477680938</v>
      </c>
      <c r="Q47" s="3" t="str">
        <f>Data_T1[[#This Row],[T / V]]</f>
        <v>Validation</v>
      </c>
      <c r="R47" s="3">
        <f ca="1">ABS((Estimates_T1[[#This Row],[A_q predicted (b=0)]]-Estimates_T1[[#This Row],[A_q measured]])/Estimates_T1[[#This Row],[A_q measured]])*100</f>
        <v>17.545771727415161</v>
      </c>
    </row>
    <row r="48" spans="1:18" x14ac:dyDescent="0.3">
      <c r="A48" s="3" t="s">
        <v>12</v>
      </c>
      <c r="B48" s="3">
        <v>170</v>
      </c>
      <c r="C48" s="3" t="s">
        <v>10</v>
      </c>
      <c r="D48" s="3">
        <v>0.5</v>
      </c>
      <c r="E48" s="3">
        <v>2</v>
      </c>
      <c r="F48" s="3">
        <v>11.275199999993378</v>
      </c>
      <c r="G48" s="3">
        <v>242.68199999999433</v>
      </c>
      <c r="H48" s="3">
        <v>21.523520647096007</v>
      </c>
      <c r="I48" s="3" t="str">
        <f>IF(ROWS($I$22:I48)&lt;=n_T,"Training","Validation")</f>
        <v>Validation</v>
      </c>
      <c r="J48" s="3">
        <f t="shared" ca="1" si="0"/>
        <v>0.87907723489240186</v>
      </c>
      <c r="O48" s="3">
        <f>Data_T1[[#This Row],[A_q]]</f>
        <v>242.68199999999433</v>
      </c>
      <c r="P48" s="3">
        <f ca="1">Data_T1[[#This Row],[A_T]]*$C$11</f>
        <v>226.38668529286457</v>
      </c>
      <c r="Q48" s="3" t="str">
        <f>Data_T1[[#This Row],[T / V]]</f>
        <v>Validation</v>
      </c>
      <c r="R48" s="3">
        <f ca="1">ABS((Estimates_T1[[#This Row],[A_q predicted (b=0)]]-Estimates_T1[[#This Row],[A_q measured]])/Estimates_T1[[#This Row],[A_q measured]])*100</f>
        <v>6.714677935376395</v>
      </c>
    </row>
    <row r="49" spans="1:18" x14ac:dyDescent="0.3">
      <c r="A49" s="3" t="s">
        <v>11</v>
      </c>
      <c r="B49" s="3">
        <v>170</v>
      </c>
      <c r="C49" s="3" t="s">
        <v>10</v>
      </c>
      <c r="D49" s="3">
        <v>1</v>
      </c>
      <c r="E49" s="3">
        <v>2</v>
      </c>
      <c r="F49" s="3">
        <v>11.370389065312704</v>
      </c>
      <c r="G49" s="3">
        <v>218.07088535308668</v>
      </c>
      <c r="H49" s="3">
        <v>19.178841119724638</v>
      </c>
      <c r="I49" s="3" t="str">
        <f>IF(ROWS($I$22:I49)&lt;=n_T,"Training","Validation")</f>
        <v>Validation</v>
      </c>
      <c r="J49" s="3">
        <f t="shared" ca="1" si="0"/>
        <v>0.32978424946877039</v>
      </c>
      <c r="O49" s="3">
        <f>Data_T1[[#This Row],[A_q]]</f>
        <v>218.07088535308668</v>
      </c>
      <c r="P49" s="3">
        <f ca="1">Data_T1[[#This Row],[A_T]]*$C$11</f>
        <v>228.29791852808708</v>
      </c>
      <c r="Q49" s="3" t="str">
        <f>Data_T1[[#This Row],[T / V]]</f>
        <v>Validation</v>
      </c>
      <c r="R49" s="3">
        <f ca="1">ABS((Estimates_T1[[#This Row],[A_q predicted (b=0)]]-Estimates_T1[[#This Row],[A_q measured]])/Estimates_T1[[#This Row],[A_q measured]])*100</f>
        <v>4.6897746842461023</v>
      </c>
    </row>
    <row r="50" spans="1:18" x14ac:dyDescent="0.3">
      <c r="A50" s="3" t="s">
        <v>12</v>
      </c>
      <c r="B50" s="3">
        <v>170</v>
      </c>
      <c r="C50" s="3" t="s">
        <v>10</v>
      </c>
      <c r="D50" s="3">
        <v>0.5</v>
      </c>
      <c r="E50" s="3">
        <v>3</v>
      </c>
      <c r="F50" s="3">
        <v>12.827573007786603</v>
      </c>
      <c r="G50" s="3">
        <v>256.02550949111617</v>
      </c>
      <c r="H50" s="3">
        <v>19.958998427504827</v>
      </c>
      <c r="I50" s="3" t="str">
        <f>IF(ROWS($I$22:I50)&lt;=n_T,"Training","Validation")</f>
        <v>Validation</v>
      </c>
      <c r="J50" s="3">
        <f t="shared" ca="1" si="0"/>
        <v>7.9915214595837059E-3</v>
      </c>
      <c r="O50" s="3">
        <f>Data_T1[[#This Row],[A_q]]</f>
        <v>256.02550949111617</v>
      </c>
      <c r="P50" s="3">
        <f ca="1">Data_T1[[#This Row],[A_T]]*$C$11</f>
        <v>257.55567383166022</v>
      </c>
      <c r="Q50" s="3" t="str">
        <f>Data_T1[[#This Row],[T / V]]</f>
        <v>Validation</v>
      </c>
      <c r="R50" s="3">
        <f ca="1">ABS((Estimates_T1[[#This Row],[A_q predicted (b=0)]]-Estimates_T1[[#This Row],[A_q measured]])/Estimates_T1[[#This Row],[A_q measured]])*100</f>
        <v>0.59766089073914819</v>
      </c>
    </row>
    <row r="51" spans="1:18" x14ac:dyDescent="0.3">
      <c r="A51" s="3" t="s">
        <v>12</v>
      </c>
      <c r="B51" s="3">
        <v>170</v>
      </c>
      <c r="C51" s="3" t="s">
        <v>9</v>
      </c>
      <c r="D51" s="3">
        <v>0.5</v>
      </c>
      <c r="E51" s="3">
        <v>3</v>
      </c>
      <c r="F51" s="3">
        <v>15.972408843058197</v>
      </c>
      <c r="G51" s="3">
        <v>309.82490270263128</v>
      </c>
      <c r="H51" s="3">
        <v>19.397506396618752</v>
      </c>
      <c r="I51" s="3" t="str">
        <f>IF(ROWS($I$22:I51)&lt;=n_T,"Training","Validation")</f>
        <v>Validation</v>
      </c>
      <c r="J51" s="3">
        <f t="shared" ca="1" si="0"/>
        <v>0.21340756014739959</v>
      </c>
      <c r="O51" s="3">
        <f>Data_T1[[#This Row],[A_q]]</f>
        <v>309.82490270263128</v>
      </c>
      <c r="P51" s="3">
        <f ca="1">Data_T1[[#This Row],[A_T]]*$C$11</f>
        <v>320.69858575674994</v>
      </c>
      <c r="Q51" s="3" t="str">
        <f>Data_T1[[#This Row],[T / V]]</f>
        <v>Validation</v>
      </c>
      <c r="R51" s="3">
        <f ca="1">ABS((Estimates_T1[[#This Row],[A_q predicted (b=0)]]-Estimates_T1[[#This Row],[A_q measured]])/Estimates_T1[[#This Row],[A_q measured]])*100</f>
        <v>3.5096220346610343</v>
      </c>
    </row>
    <row r="52" spans="1:18" x14ac:dyDescent="0.3">
      <c r="A52" s="3" t="s">
        <v>8</v>
      </c>
      <c r="B52" s="3">
        <v>170</v>
      </c>
      <c r="C52" s="3" t="s">
        <v>10</v>
      </c>
      <c r="D52" s="3">
        <v>1</v>
      </c>
      <c r="E52" s="3">
        <v>1</v>
      </c>
      <c r="F52" s="3">
        <v>7.7868000000008877</v>
      </c>
      <c r="G52" s="3">
        <v>134.81040000000056</v>
      </c>
      <c r="H52" s="3">
        <v>17.312683002001489</v>
      </c>
      <c r="I52" s="3" t="str">
        <f>IF(ROWS($I$22:I52)&lt;=n_T,"Training","Validation")</f>
        <v>Validation</v>
      </c>
      <c r="J52" s="3">
        <f t="shared" ca="1" si="0"/>
        <v>0.79885111905161099</v>
      </c>
      <c r="O52" s="3">
        <f>Data_T1[[#This Row],[A_q]]</f>
        <v>134.81040000000056</v>
      </c>
      <c r="P52" s="3">
        <f ca="1">Data_T1[[#This Row],[A_T]]*$C$11</f>
        <v>156.34559396194427</v>
      </c>
      <c r="Q52" s="3" t="str">
        <f>Data_T1[[#This Row],[T / V]]</f>
        <v>Validation</v>
      </c>
      <c r="R52" s="3">
        <f ca="1">ABS((Estimates_T1[[#This Row],[A_q predicted (b=0)]]-Estimates_T1[[#This Row],[A_q measured]])/Estimates_T1[[#This Row],[A_q measured]])*100</f>
        <v>15.97443072785455</v>
      </c>
    </row>
    <row r="53" spans="1:18" x14ac:dyDescent="0.3">
      <c r="A53" s="3" t="s">
        <v>12</v>
      </c>
      <c r="B53" s="3">
        <v>170</v>
      </c>
      <c r="C53" s="3" t="s">
        <v>9</v>
      </c>
      <c r="D53" s="3">
        <v>0.5</v>
      </c>
      <c r="E53" s="3">
        <v>2</v>
      </c>
      <c r="F53" s="3">
        <v>17.790648849835058</v>
      </c>
      <c r="G53" s="3">
        <v>369.31674307917132</v>
      </c>
      <c r="H53" s="3">
        <v>20.759037300800603</v>
      </c>
      <c r="I53" s="3" t="str">
        <f>IF(ROWS($I$22:I53)&lt;=n_T,"Training","Validation")</f>
        <v>Validation</v>
      </c>
      <c r="J53" s="3">
        <f t="shared" ca="1" si="0"/>
        <v>0.33092538131079219</v>
      </c>
      <c r="O53" s="3">
        <f>Data_T1[[#This Row],[A_q]]</f>
        <v>369.31674307917132</v>
      </c>
      <c r="P53" s="3">
        <f ca="1">Data_T1[[#This Row],[A_T]]*$C$11</f>
        <v>357.20572782086685</v>
      </c>
      <c r="Q53" s="3" t="str">
        <f>Data_T1[[#This Row],[T / V]]</f>
        <v>Validation</v>
      </c>
      <c r="R53" s="3">
        <f ca="1">ABS((Estimates_T1[[#This Row],[A_q predicted (b=0)]]-Estimates_T1[[#This Row],[A_q measured]])/Estimates_T1[[#This Row],[A_q measured]])*100</f>
        <v>3.2793030603836435</v>
      </c>
    </row>
    <row r="54" spans="1:18" x14ac:dyDescent="0.3">
      <c r="A54" s="3" t="s">
        <v>11</v>
      </c>
      <c r="B54" s="3">
        <v>170</v>
      </c>
      <c r="C54" s="3" t="s">
        <v>9</v>
      </c>
      <c r="D54" s="3">
        <v>0.5</v>
      </c>
      <c r="E54" s="3">
        <v>1</v>
      </c>
      <c r="F54" s="3">
        <v>11.393531322500698</v>
      </c>
      <c r="G54" s="3">
        <v>236.18810812499981</v>
      </c>
      <c r="H54" s="3">
        <v>20.730017888181866</v>
      </c>
      <c r="I54" s="3" t="str">
        <f>IF(ROWS($I$22:I54)&lt;=n_T,"Training","Validation")</f>
        <v>Validation</v>
      </c>
      <c r="J54" s="3">
        <f t="shared" ca="1" si="0"/>
        <v>0.1518439559565955</v>
      </c>
      <c r="O54" s="3">
        <f>Data_T1[[#This Row],[A_q]]</f>
        <v>236.18810812499981</v>
      </c>
      <c r="P54" s="3">
        <f ca="1">Data_T1[[#This Row],[A_T]]*$C$11</f>
        <v>228.76257537630156</v>
      </c>
      <c r="Q54" s="3" t="str">
        <f>Data_T1[[#This Row],[T / V]]</f>
        <v>Validation</v>
      </c>
      <c r="R54" s="3">
        <f ca="1">ABS((Estimates_T1[[#This Row],[A_q predicted (b=0)]]-Estimates_T1[[#This Row],[A_q measured]])/Estimates_T1[[#This Row],[A_q measured]])*100</f>
        <v>3.1439062735404031</v>
      </c>
    </row>
    <row r="55" spans="1:18" x14ac:dyDescent="0.3">
      <c r="A55" s="3" t="s">
        <v>11</v>
      </c>
      <c r="B55" s="3">
        <v>170</v>
      </c>
      <c r="C55" s="3" t="s">
        <v>10</v>
      </c>
      <c r="D55" s="3">
        <v>0.5</v>
      </c>
      <c r="E55" s="3">
        <v>1</v>
      </c>
      <c r="F55" s="3">
        <v>12.236660066643104</v>
      </c>
      <c r="G55" s="3">
        <v>246.42412532412126</v>
      </c>
      <c r="H55" s="3">
        <v>20.138185091524168</v>
      </c>
      <c r="I55" s="3" t="str">
        <f>IF(ROWS($I$22:I55)&lt;=n_T,"Training","Validation")</f>
        <v>Validation</v>
      </c>
      <c r="J55" s="3">
        <f t="shared" ca="1" si="0"/>
        <v>0.52214621693482355</v>
      </c>
      <c r="O55" s="3">
        <f>Data_T1[[#This Row],[A_q]]</f>
        <v>246.42412532412126</v>
      </c>
      <c r="P55" s="3">
        <f ca="1">Data_T1[[#This Row],[A_T]]*$C$11</f>
        <v>245.69115506106522</v>
      </c>
      <c r="Q55" s="3" t="str">
        <f>Data_T1[[#This Row],[T / V]]</f>
        <v>Validation</v>
      </c>
      <c r="R55" s="3">
        <f ca="1">ABS((Estimates_T1[[#This Row],[A_q predicted (b=0)]]-Estimates_T1[[#This Row],[A_q measured]])/Estimates_T1[[#This Row],[A_q measured]])*100</f>
        <v>0.29744257470406826</v>
      </c>
    </row>
    <row r="56" spans="1:18" x14ac:dyDescent="0.3">
      <c r="A56" s="3" t="s">
        <v>8</v>
      </c>
      <c r="B56" s="3">
        <v>170</v>
      </c>
      <c r="C56" s="3" t="s">
        <v>10</v>
      </c>
      <c r="D56" s="3">
        <v>0.5</v>
      </c>
      <c r="E56" s="3">
        <v>3</v>
      </c>
      <c r="F56" s="3">
        <v>6.6891725519443357</v>
      </c>
      <c r="G56" s="3">
        <v>134.90327528622092</v>
      </c>
      <c r="H56" s="3">
        <v>20.167408485674166</v>
      </c>
      <c r="I56" s="3" t="str">
        <f>IF(ROWS($I$22:I56)&lt;=n_T,"Training","Validation")</f>
        <v>Validation</v>
      </c>
      <c r="J56" s="3">
        <f t="shared" ca="1" si="0"/>
        <v>0.60582042153474025</v>
      </c>
      <c r="O56" s="3">
        <f>Data_T1[[#This Row],[A_q]]</f>
        <v>134.90327528622092</v>
      </c>
      <c r="P56" s="3">
        <f ca="1">Data_T1[[#This Row],[A_T]]*$C$11</f>
        <v>134.30711662654139</v>
      </c>
      <c r="Q56" s="3" t="str">
        <f>Data_T1[[#This Row],[T / V]]</f>
        <v>Validation</v>
      </c>
      <c r="R56" s="3">
        <f ca="1">ABS((Estimates_T1[[#This Row],[A_q predicted (b=0)]]-Estimates_T1[[#This Row],[A_q measured]])/Estimates_T1[[#This Row],[A_q measured]])*100</f>
        <v>0.44191563059879491</v>
      </c>
    </row>
    <row r="57" spans="1:18" x14ac:dyDescent="0.3">
      <c r="A57" s="3" t="s">
        <v>11</v>
      </c>
      <c r="B57" s="3">
        <v>170</v>
      </c>
      <c r="C57" s="3" t="s">
        <v>10</v>
      </c>
      <c r="D57" s="3">
        <v>1</v>
      </c>
      <c r="E57" s="3">
        <v>1</v>
      </c>
      <c r="F57" s="3">
        <v>11.064381075029758</v>
      </c>
      <c r="G57" s="3">
        <v>222.77243533078848</v>
      </c>
      <c r="H57" s="3">
        <v>20.134197640168441</v>
      </c>
      <c r="I57" s="3" t="str">
        <f>IF(ROWS($I$22:I57)&lt;=n_T,"Training","Validation")</f>
        <v>Validation</v>
      </c>
      <c r="J57" s="3">
        <f t="shared" ca="1" si="0"/>
        <v>0.31568021173856564</v>
      </c>
      <c r="O57" s="3">
        <f>Data_T1[[#This Row],[A_q]]</f>
        <v>222.77243533078848</v>
      </c>
      <c r="P57" s="3">
        <f ca="1">Data_T1[[#This Row],[A_T]]*$C$11</f>
        <v>222.15380271698589</v>
      </c>
      <c r="Q57" s="3" t="str">
        <f>Data_T1[[#This Row],[T / V]]</f>
        <v>Validation</v>
      </c>
      <c r="R57" s="3">
        <f ca="1">ABS((Estimates_T1[[#This Row],[A_q predicted (b=0)]]-Estimates_T1[[#This Row],[A_q measured]])/Estimates_T1[[#This Row],[A_q measured]])*100</f>
        <v>0.27769710955666438</v>
      </c>
    </row>
    <row r="59" spans="1:18" x14ac:dyDescent="0.3">
      <c r="O59" s="2"/>
      <c r="P59" s="2"/>
      <c r="Q59" s="2"/>
      <c r="R59" s="2"/>
    </row>
    <row r="60" spans="1:18" x14ac:dyDescent="0.3">
      <c r="K60" s="3" t="s">
        <v>24</v>
      </c>
      <c r="L60" s="3" t="s">
        <v>25</v>
      </c>
      <c r="O60" s="2"/>
      <c r="P60" s="2"/>
      <c r="Q60" s="2"/>
      <c r="R60" s="2"/>
    </row>
    <row r="61" spans="1:18" x14ac:dyDescent="0.3">
      <c r="A61" s="18" t="str" cm="1">
        <f t="array" aca="1" ref="A61:J85" ca="1">_xlfn._xlws.FILTER(Data_T1[],Data_T1[T / V]="Training")</f>
        <v>RT11</v>
      </c>
      <c r="B61" s="19">
        <f ca="1"/>
        <v>170</v>
      </c>
      <c r="C61" s="19" t="str">
        <f ca="1"/>
        <v>Solidification</v>
      </c>
      <c r="D61" s="19">
        <f ca="1"/>
        <v>1</v>
      </c>
      <c r="E61" s="19">
        <f ca="1"/>
        <v>2</v>
      </c>
      <c r="F61" s="19">
        <f ca="1"/>
        <v>12.414593957682301</v>
      </c>
      <c r="G61" s="19">
        <f ca="1"/>
        <v>251.89549266775174</v>
      </c>
      <c r="H61" s="19">
        <f ca="1"/>
        <v>20.290272362220573</v>
      </c>
      <c r="I61" s="19" t="str">
        <f ca="1"/>
        <v>Training</v>
      </c>
      <c r="J61" s="20">
        <f ca="1"/>
        <v>1.8387320727638934E-2</v>
      </c>
      <c r="K61" s="21">
        <f t="shared" ref="K61:K85" ca="1" si="1">G61-$C$11*F61</f>
        <v>2.6317301324377809</v>
      </c>
      <c r="L61" s="21">
        <f ca="1">G61-AVERAGE($G$61:$G$108)</f>
        <v>18.179395746597237</v>
      </c>
      <c r="M61" s="22"/>
      <c r="N61" s="21"/>
      <c r="O61" s="18" cm="1">
        <f t="array" aca="1" ref="O61:R85" ca="1">_xlfn._xlws.FILTER(Estimates_T1[],Estimates_T1[T / V]="Training")</f>
        <v>251.89549266775174</v>
      </c>
      <c r="P61" s="19">
        <f ca="1"/>
        <v>249.26376253531396</v>
      </c>
      <c r="Q61" s="19" t="str">
        <f ca="1"/>
        <v>Training</v>
      </c>
      <c r="R61" s="19">
        <f ca="1"/>
        <v>1.0447706326802018</v>
      </c>
    </row>
    <row r="62" spans="1:18" x14ac:dyDescent="0.3">
      <c r="A62" s="23" t="str">
        <f ca="1"/>
        <v>RT11</v>
      </c>
      <c r="B62" s="21">
        <f ca="1"/>
        <v>170</v>
      </c>
      <c r="C62" s="21" t="str">
        <f ca="1"/>
        <v>Solidification</v>
      </c>
      <c r="D62" s="21">
        <f ca="1"/>
        <v>0.5</v>
      </c>
      <c r="E62" s="21">
        <f ca="1"/>
        <v>2</v>
      </c>
      <c r="F62" s="21">
        <f ca="1"/>
        <v>11.776659612500808</v>
      </c>
      <c r="G62" s="21">
        <f ca="1"/>
        <v>233.47361453749977</v>
      </c>
      <c r="H62" s="21">
        <f ca="1"/>
        <v>19.825113590756231</v>
      </c>
      <c r="I62" s="21" t="str">
        <f ca="1"/>
        <v>Training</v>
      </c>
      <c r="J62" s="24">
        <f ca="1"/>
        <v>0.21823828129505418</v>
      </c>
      <c r="K62" s="21">
        <f t="shared" ca="1" si="1"/>
        <v>-2.9815200497336889</v>
      </c>
      <c r="L62" s="21">
        <f t="shared" ref="L62:L85" ca="1" si="2">G62-AVERAGE($G$61:$G$108)</f>
        <v>-0.24248238365473185</v>
      </c>
      <c r="M62" s="22"/>
      <c r="N62" s="21"/>
      <c r="O62" s="23">
        <f ca="1"/>
        <v>233.47361453749977</v>
      </c>
      <c r="P62" s="21">
        <f ca="1"/>
        <v>236.45513458723346</v>
      </c>
      <c r="Q62" s="21" t="str">
        <f ca="1"/>
        <v>Training</v>
      </c>
      <c r="R62" s="21">
        <f ca="1"/>
        <v>1.2770265520752482</v>
      </c>
    </row>
    <row r="63" spans="1:18" x14ac:dyDescent="0.3">
      <c r="A63" s="23" t="str">
        <f ca="1"/>
        <v>RT8</v>
      </c>
      <c r="B63" s="21">
        <f ca="1"/>
        <v>170</v>
      </c>
      <c r="C63" s="21" t="str">
        <f ca="1"/>
        <v>Solidification</v>
      </c>
      <c r="D63" s="21">
        <f ca="1"/>
        <v>0.5</v>
      </c>
      <c r="E63" s="21">
        <f ca="1"/>
        <v>1</v>
      </c>
      <c r="F63" s="21">
        <f ca="1"/>
        <v>9.9350536485328842</v>
      </c>
      <c r="G63" s="21">
        <f ca="1"/>
        <v>186.1133247973641</v>
      </c>
      <c r="H63" s="21">
        <f ca="1"/>
        <v>18.732996456928802</v>
      </c>
      <c r="I63" s="21" t="str">
        <f ca="1"/>
        <v>Training</v>
      </c>
      <c r="J63" s="24">
        <f ca="1"/>
        <v>0.10453672632685618</v>
      </c>
      <c r="K63" s="21">
        <f t="shared" ca="1" si="1"/>
        <v>-13.365519364997624</v>
      </c>
      <c r="L63" s="21">
        <f t="shared" ca="1" si="2"/>
        <v>-47.602772123790402</v>
      </c>
      <c r="M63" s="22"/>
      <c r="N63" s="21"/>
      <c r="O63" s="23">
        <f ca="1"/>
        <v>186.1133247973641</v>
      </c>
      <c r="P63" s="21">
        <f ca="1"/>
        <v>199.47884416236172</v>
      </c>
      <c r="Q63" s="21" t="str">
        <f ca="1"/>
        <v>Training</v>
      </c>
      <c r="R63" s="21">
        <f ca="1"/>
        <v>7.1813876731016943</v>
      </c>
    </row>
    <row r="64" spans="1:18" x14ac:dyDescent="0.3">
      <c r="A64" s="23" t="str">
        <f ca="1"/>
        <v>RT8</v>
      </c>
      <c r="B64" s="21">
        <f ca="1"/>
        <v>170</v>
      </c>
      <c r="C64" s="21" t="str">
        <f ca="1"/>
        <v>Melting</v>
      </c>
      <c r="D64" s="21">
        <f ca="1"/>
        <v>1</v>
      </c>
      <c r="E64" s="21">
        <f ca="1"/>
        <v>2</v>
      </c>
      <c r="F64" s="21">
        <f ca="1"/>
        <v>9.3620263278695397</v>
      </c>
      <c r="G64" s="21">
        <f ca="1"/>
        <v>159.24805774971134</v>
      </c>
      <c r="H64" s="21">
        <f ca="1"/>
        <v>17.009998922525028</v>
      </c>
      <c r="I64" s="21" t="str">
        <f ca="1"/>
        <v>Training</v>
      </c>
      <c r="J64" s="24">
        <f ca="1"/>
        <v>0.75719701085230351</v>
      </c>
      <c r="K64" s="21">
        <f t="shared" ca="1" si="1"/>
        <v>-28.725380237389459</v>
      </c>
      <c r="L64" s="21">
        <f t="shared" ca="1" si="2"/>
        <v>-74.468039171443166</v>
      </c>
      <c r="M64" s="22"/>
      <c r="N64" s="21"/>
      <c r="O64" s="23">
        <f ca="1"/>
        <v>159.24805774971134</v>
      </c>
      <c r="P64" s="21">
        <f ca="1"/>
        <v>187.97343798710079</v>
      </c>
      <c r="Q64" s="21" t="str">
        <f ca="1"/>
        <v>Training</v>
      </c>
      <c r="R64" s="21">
        <f ca="1"/>
        <v>18.038135374019358</v>
      </c>
    </row>
    <row r="65" spans="1:18" x14ac:dyDescent="0.3">
      <c r="A65" s="23" t="str">
        <f ca="1"/>
        <v>RT11</v>
      </c>
      <c r="B65" s="21">
        <f ca="1"/>
        <v>170</v>
      </c>
      <c r="C65" s="21" t="str">
        <f ca="1"/>
        <v>Solidification</v>
      </c>
      <c r="D65" s="21">
        <f ca="1"/>
        <v>1</v>
      </c>
      <c r="E65" s="21">
        <f ca="1"/>
        <v>3</v>
      </c>
      <c r="F65" s="21">
        <f ca="1"/>
        <v>12.285332570093937</v>
      </c>
      <c r="G65" s="21">
        <f ca="1"/>
        <v>256.57732728687955</v>
      </c>
      <c r="H65" s="21">
        <f ca="1"/>
        <v>20.884849947934107</v>
      </c>
      <c r="I65" s="21" t="str">
        <f ca="1"/>
        <v>Training</v>
      </c>
      <c r="J65" s="24">
        <f ca="1"/>
        <v>0.46469079842522998</v>
      </c>
      <c r="K65" s="21">
        <f t="shared" ca="1" si="1"/>
        <v>9.9089118028377072</v>
      </c>
      <c r="L65" s="21">
        <f t="shared" ca="1" si="2"/>
        <v>22.861230365725049</v>
      </c>
      <c r="M65" s="22"/>
      <c r="N65" s="21"/>
      <c r="O65" s="23">
        <f ca="1"/>
        <v>256.57732728687955</v>
      </c>
      <c r="P65" s="21">
        <f ca="1"/>
        <v>246.66841548404184</v>
      </c>
      <c r="Q65" s="21" t="str">
        <f ca="1"/>
        <v>Training</v>
      </c>
      <c r="R65" s="21">
        <f ca="1"/>
        <v>3.8619592415344384</v>
      </c>
    </row>
    <row r="66" spans="1:18" x14ac:dyDescent="0.3">
      <c r="A66" s="23" t="str">
        <f ca="1"/>
        <v>RT24</v>
      </c>
      <c r="B66" s="21">
        <f ca="1"/>
        <v>170</v>
      </c>
      <c r="C66" s="21" t="str">
        <f ca="1"/>
        <v>Melting</v>
      </c>
      <c r="D66" s="21">
        <f ca="1"/>
        <v>1</v>
      </c>
      <c r="E66" s="21">
        <f ca="1"/>
        <v>3</v>
      </c>
      <c r="F66" s="21">
        <f ca="1"/>
        <v>7.7994267951314544</v>
      </c>
      <c r="G66" s="21">
        <f ca="1"/>
        <v>182.63889794765294</v>
      </c>
      <c r="H66" s="21">
        <f ca="1"/>
        <v>23.416964187888716</v>
      </c>
      <c r="I66" s="21" t="str">
        <f ca="1"/>
        <v>Training</v>
      </c>
      <c r="J66" s="24">
        <f ca="1"/>
        <v>0.66026449135251819</v>
      </c>
      <c r="K66" s="21">
        <f t="shared" ca="1" si="1"/>
        <v>26.039779587428995</v>
      </c>
      <c r="L66" s="21">
        <f t="shared" ca="1" si="2"/>
        <v>-51.077198973501567</v>
      </c>
      <c r="M66" s="22"/>
      <c r="N66" s="21"/>
      <c r="O66" s="23">
        <f ca="1"/>
        <v>182.63889794765294</v>
      </c>
      <c r="P66" s="21">
        <f ca="1"/>
        <v>156.59911836022394</v>
      </c>
      <c r="Q66" s="21" t="str">
        <f ca="1"/>
        <v>Training</v>
      </c>
      <c r="R66" s="21">
        <f ca="1"/>
        <v>14.257521196219871</v>
      </c>
    </row>
    <row r="67" spans="1:18" x14ac:dyDescent="0.3">
      <c r="A67" s="23" t="str">
        <f ca="1"/>
        <v>RT8</v>
      </c>
      <c r="B67" s="21">
        <f ca="1"/>
        <v>170</v>
      </c>
      <c r="C67" s="21" t="str">
        <f ca="1"/>
        <v>Melting</v>
      </c>
      <c r="D67" s="21">
        <f ca="1"/>
        <v>1</v>
      </c>
      <c r="E67" s="21">
        <f ca="1"/>
        <v>3</v>
      </c>
      <c r="F67" s="21">
        <f ca="1"/>
        <v>7.872829771852226</v>
      </c>
      <c r="G67" s="21">
        <f ca="1"/>
        <v>156.15565369073173</v>
      </c>
      <c r="H67" s="21">
        <f ca="1"/>
        <v>19.834755509262493</v>
      </c>
      <c r="I67" s="21" t="str">
        <f ca="1"/>
        <v>Training</v>
      </c>
      <c r="J67" s="24">
        <f ca="1"/>
        <v>0.43265183348970493</v>
      </c>
      <c r="K67" s="21">
        <f t="shared" ca="1" si="1"/>
        <v>-1.9172705967001207</v>
      </c>
      <c r="L67" s="21">
        <f t="shared" ca="1" si="2"/>
        <v>-77.560443230422777</v>
      </c>
      <c r="M67" s="22"/>
      <c r="N67" s="21"/>
      <c r="O67" s="23">
        <f ca="1"/>
        <v>156.15565369073173</v>
      </c>
      <c r="P67" s="21">
        <f ca="1"/>
        <v>158.07292428743185</v>
      </c>
      <c r="Q67" s="21" t="str">
        <f ca="1"/>
        <v>Training</v>
      </c>
      <c r="R67" s="21">
        <f ca="1"/>
        <v>1.2277945443443885</v>
      </c>
    </row>
    <row r="68" spans="1:18" x14ac:dyDescent="0.3">
      <c r="A68" s="23" t="str">
        <f ca="1"/>
        <v>RT24</v>
      </c>
      <c r="B68" s="21">
        <f ca="1"/>
        <v>170</v>
      </c>
      <c r="C68" s="21" t="str">
        <f ca="1"/>
        <v>Melting</v>
      </c>
      <c r="D68" s="21">
        <f ca="1"/>
        <v>1</v>
      </c>
      <c r="E68" s="21">
        <f ca="1"/>
        <v>1</v>
      </c>
      <c r="F68" s="21">
        <f ca="1"/>
        <v>13.042056671598727</v>
      </c>
      <c r="G68" s="21">
        <f ca="1"/>
        <v>266.10625346834951</v>
      </c>
      <c r="H68" s="21">
        <f ca="1"/>
        <v>20.403703201799502</v>
      </c>
      <c r="I68" s="21" t="str">
        <f ca="1"/>
        <v>Training</v>
      </c>
      <c r="J68" s="24">
        <f ca="1"/>
        <v>0.71263980820165762</v>
      </c>
      <c r="K68" s="21">
        <f t="shared" ca="1" si="1"/>
        <v>4.2441153877247757</v>
      </c>
      <c r="L68" s="21">
        <f t="shared" ca="1" si="2"/>
        <v>32.390156547195005</v>
      </c>
      <c r="M68" s="22"/>
      <c r="N68" s="21"/>
      <c r="O68" s="23">
        <f ca="1"/>
        <v>266.10625346834951</v>
      </c>
      <c r="P68" s="21">
        <f ca="1"/>
        <v>261.86213808062473</v>
      </c>
      <c r="Q68" s="21" t="str">
        <f ca="1"/>
        <v>Training</v>
      </c>
      <c r="R68" s="21">
        <f ca="1"/>
        <v>1.5948950212211259</v>
      </c>
    </row>
    <row r="69" spans="1:18" x14ac:dyDescent="0.3">
      <c r="A69" s="23" t="str">
        <f ca="1"/>
        <v>RT8</v>
      </c>
      <c r="B69" s="21">
        <f ca="1"/>
        <v>170</v>
      </c>
      <c r="C69" s="21" t="str">
        <f ca="1"/>
        <v>Melting</v>
      </c>
      <c r="D69" s="21">
        <f ca="1"/>
        <v>0.5</v>
      </c>
      <c r="E69" s="21">
        <f ca="1"/>
        <v>1</v>
      </c>
      <c r="F69" s="21">
        <f ca="1"/>
        <v>8.0972999999946342</v>
      </c>
      <c r="G69" s="21">
        <f ca="1"/>
        <v>166.90619999999905</v>
      </c>
      <c r="H69" s="21">
        <f ca="1"/>
        <v>20.612574561904541</v>
      </c>
      <c r="I69" s="21" t="str">
        <f ca="1"/>
        <v>Training</v>
      </c>
      <c r="J69" s="24">
        <f ca="1"/>
        <v>0.18751245733710986</v>
      </c>
      <c r="K69" s="21">
        <f t="shared" ca="1" si="1"/>
        <v>4.3262983732630005</v>
      </c>
      <c r="L69" s="21">
        <f t="shared" ca="1" si="2"/>
        <v>-66.809896921155456</v>
      </c>
      <c r="M69" s="22"/>
      <c r="N69" s="21"/>
      <c r="O69" s="23">
        <f ca="1"/>
        <v>166.90619999999905</v>
      </c>
      <c r="P69" s="21">
        <f ca="1"/>
        <v>162.57990162673605</v>
      </c>
      <c r="Q69" s="21" t="str">
        <f ca="1"/>
        <v>Training</v>
      </c>
      <c r="R69" s="21">
        <f ca="1"/>
        <v>2.5920537243451864</v>
      </c>
    </row>
    <row r="70" spans="1:18" x14ac:dyDescent="0.3">
      <c r="A70" s="23" t="str">
        <f ca="1"/>
        <v>RT24</v>
      </c>
      <c r="B70" s="21">
        <f ca="1"/>
        <v>170</v>
      </c>
      <c r="C70" s="21" t="str">
        <f ca="1"/>
        <v>Solidification</v>
      </c>
      <c r="D70" s="21">
        <f ca="1"/>
        <v>1</v>
      </c>
      <c r="E70" s="21">
        <f ca="1"/>
        <v>3</v>
      </c>
      <c r="F70" s="21">
        <f ca="1"/>
        <v>17.283599999999968</v>
      </c>
      <c r="G70" s="21">
        <f ca="1"/>
        <v>360.78210000000007</v>
      </c>
      <c r="H70" s="21">
        <f ca="1"/>
        <v>20.874244948969007</v>
      </c>
      <c r="I70" s="21" t="str">
        <f ca="1"/>
        <v>Training</v>
      </c>
      <c r="J70" s="24">
        <f ca="1"/>
        <v>0.79032804424936121</v>
      </c>
      <c r="K70" s="21">
        <f t="shared" ca="1" si="1"/>
        <v>13.757043776603155</v>
      </c>
      <c r="L70" s="21">
        <f t="shared" ca="1" si="2"/>
        <v>127.06600307884557</v>
      </c>
      <c r="M70" s="22"/>
      <c r="N70" s="21"/>
      <c r="O70" s="23">
        <f ca="1"/>
        <v>360.78210000000007</v>
      </c>
      <c r="P70" s="21">
        <f ca="1"/>
        <v>347.02505622339692</v>
      </c>
      <c r="Q70" s="21" t="str">
        <f ca="1"/>
        <v>Training</v>
      </c>
      <c r="R70" s="21">
        <f ca="1"/>
        <v>3.8131170522603952</v>
      </c>
    </row>
    <row r="71" spans="1:18" x14ac:dyDescent="0.3">
      <c r="A71" s="23" t="str">
        <f ca="1"/>
        <v>RT11</v>
      </c>
      <c r="B71" s="21">
        <f ca="1"/>
        <v>170</v>
      </c>
      <c r="C71" s="21" t="str">
        <f ca="1"/>
        <v>Solidification</v>
      </c>
      <c r="D71" s="21">
        <f ca="1"/>
        <v>1</v>
      </c>
      <c r="E71" s="21">
        <f ca="1"/>
        <v>1</v>
      </c>
      <c r="F71" s="21">
        <f ca="1"/>
        <v>11.990650156666428</v>
      </c>
      <c r="G71" s="21">
        <f ca="1"/>
        <v>261.17692526275397</v>
      </c>
      <c r="H71" s="21">
        <f ca="1"/>
        <v>21.781715073852585</v>
      </c>
      <c r="I71" s="21" t="str">
        <f ca="1"/>
        <v>Training</v>
      </c>
      <c r="J71" s="24">
        <f ca="1"/>
        <v>0.44110965845278227</v>
      </c>
      <c r="K71" s="21">
        <f t="shared" ca="1" si="1"/>
        <v>20.425227423631441</v>
      </c>
      <c r="L71" s="21">
        <f t="shared" ca="1" si="2"/>
        <v>27.460828341599466</v>
      </c>
      <c r="M71" s="22"/>
      <c r="N71" s="21"/>
      <c r="O71" s="23">
        <f ca="1"/>
        <v>261.17692526275397</v>
      </c>
      <c r="P71" s="21">
        <f ca="1"/>
        <v>240.75169783912253</v>
      </c>
      <c r="Q71" s="21" t="str">
        <f ca="1"/>
        <v>Training</v>
      </c>
      <c r="R71" s="21">
        <f ca="1"/>
        <v>7.8204563450936115</v>
      </c>
    </row>
    <row r="72" spans="1:18" x14ac:dyDescent="0.3">
      <c r="A72" s="23" t="str">
        <f ca="1"/>
        <v>RT8</v>
      </c>
      <c r="B72" s="21">
        <f ca="1"/>
        <v>170</v>
      </c>
      <c r="C72" s="21" t="str">
        <f ca="1"/>
        <v>Solidification</v>
      </c>
      <c r="D72" s="21">
        <f ca="1"/>
        <v>1</v>
      </c>
      <c r="E72" s="21">
        <f ca="1"/>
        <v>3</v>
      </c>
      <c r="F72" s="21">
        <f ca="1"/>
        <v>11.346010588618963</v>
      </c>
      <c r="G72" s="21">
        <f ca="1"/>
        <v>205.62869365733505</v>
      </c>
      <c r="H72" s="21">
        <f ca="1"/>
        <v>18.123435726703669</v>
      </c>
      <c r="I72" s="21" t="str">
        <f ca="1"/>
        <v>Training</v>
      </c>
      <c r="J72" s="24">
        <f ca="1"/>
        <v>0.71774351340342302</v>
      </c>
      <c r="K72" s="21">
        <f t="shared" ca="1" si="1"/>
        <v>-22.179746854292148</v>
      </c>
      <c r="L72" s="21">
        <f t="shared" ca="1" si="2"/>
        <v>-28.087403263819454</v>
      </c>
      <c r="M72" s="22"/>
      <c r="N72" s="21"/>
      <c r="O72" s="23">
        <f ca="1"/>
        <v>205.62869365733505</v>
      </c>
      <c r="P72" s="21">
        <f ca="1"/>
        <v>227.8084405116272</v>
      </c>
      <c r="Q72" s="21" t="str">
        <f ca="1"/>
        <v>Training</v>
      </c>
      <c r="R72" s="21">
        <f ca="1"/>
        <v>10.786309274158523</v>
      </c>
    </row>
    <row r="73" spans="1:18" x14ac:dyDescent="0.3">
      <c r="A73" s="23" t="str">
        <f ca="1"/>
        <v>RT11</v>
      </c>
      <c r="B73" s="21">
        <f ca="1"/>
        <v>170</v>
      </c>
      <c r="C73" s="21" t="str">
        <f ca="1"/>
        <v>Melting</v>
      </c>
      <c r="D73" s="21">
        <f ca="1"/>
        <v>0.5</v>
      </c>
      <c r="E73" s="21">
        <f ca="1"/>
        <v>2</v>
      </c>
      <c r="F73" s="21">
        <f ca="1"/>
        <v>12.778499999994182</v>
      </c>
      <c r="G73" s="21">
        <f ca="1"/>
        <v>247.45169999999919</v>
      </c>
      <c r="H73" s="21">
        <f ca="1"/>
        <v>19.364690691404459</v>
      </c>
      <c r="I73" s="21" t="str">
        <f ca="1"/>
        <v>Training</v>
      </c>
      <c r="J73" s="24">
        <f ca="1"/>
        <v>2.7799593408254442E-2</v>
      </c>
      <c r="K73" s="21">
        <f t="shared" ca="1" si="1"/>
        <v>-9.1186719681478792</v>
      </c>
      <c r="L73" s="21">
        <f t="shared" ca="1" si="2"/>
        <v>13.73560307884469</v>
      </c>
      <c r="M73" s="22"/>
      <c r="N73" s="21"/>
      <c r="O73" s="23">
        <f ca="1"/>
        <v>247.45169999999919</v>
      </c>
      <c r="P73" s="21">
        <f ca="1"/>
        <v>256.57037196814707</v>
      </c>
      <c r="Q73" s="21" t="str">
        <f ca="1"/>
        <v>Training</v>
      </c>
      <c r="R73" s="21">
        <f ca="1"/>
        <v>3.6850310457143389</v>
      </c>
    </row>
    <row r="74" spans="1:18" x14ac:dyDescent="0.3">
      <c r="A74" s="23" t="str">
        <f ca="1"/>
        <v>RT11</v>
      </c>
      <c r="B74" s="21">
        <f ca="1"/>
        <v>170</v>
      </c>
      <c r="C74" s="21" t="str">
        <f ca="1"/>
        <v>Melting</v>
      </c>
      <c r="D74" s="21">
        <f ca="1"/>
        <v>1</v>
      </c>
      <c r="E74" s="21">
        <f ca="1"/>
        <v>3</v>
      </c>
      <c r="F74" s="21">
        <f ca="1"/>
        <v>11.550733538461678</v>
      </c>
      <c r="G74" s="21">
        <f ca="1"/>
        <v>217.63550879854768</v>
      </c>
      <c r="H74" s="21">
        <f ca="1"/>
        <v>18.84170456134791</v>
      </c>
      <c r="I74" s="21" t="str">
        <f ca="1"/>
        <v>Training</v>
      </c>
      <c r="J74" s="24">
        <f ca="1"/>
        <v>4.851702773623956E-2</v>
      </c>
      <c r="K74" s="21">
        <f t="shared" ca="1" si="1"/>
        <v>-14.283417559742702</v>
      </c>
      <c r="L74" s="21">
        <f t="shared" ca="1" si="2"/>
        <v>-16.080588122606827</v>
      </c>
      <c r="M74" s="22"/>
      <c r="N74" s="21"/>
      <c r="O74" s="23">
        <f ca="1"/>
        <v>217.63550879854768</v>
      </c>
      <c r="P74" s="21">
        <f ca="1"/>
        <v>231.91892635829038</v>
      </c>
      <c r="Q74" s="21" t="str">
        <f ca="1"/>
        <v>Training</v>
      </c>
      <c r="R74" s="21">
        <f ca="1"/>
        <v>6.5629995944108632</v>
      </c>
    </row>
    <row r="75" spans="1:18" x14ac:dyDescent="0.3">
      <c r="A75" s="23" t="str">
        <f ca="1"/>
        <v>RT24</v>
      </c>
      <c r="B75" s="21">
        <f ca="1"/>
        <v>170</v>
      </c>
      <c r="C75" s="21" t="str">
        <f ca="1"/>
        <v>Melting</v>
      </c>
      <c r="D75" s="21">
        <f ca="1"/>
        <v>1</v>
      </c>
      <c r="E75" s="21">
        <f ca="1"/>
        <v>2</v>
      </c>
      <c r="F75" s="21">
        <f ca="1"/>
        <v>11.275199999993378</v>
      </c>
      <c r="G75" s="21">
        <f ca="1"/>
        <v>242.68199999999433</v>
      </c>
      <c r="H75" s="21">
        <f ca="1"/>
        <v>21.523520647096007</v>
      </c>
      <c r="I75" s="21" t="str">
        <f ca="1"/>
        <v>Training</v>
      </c>
      <c r="J75" s="24">
        <f ca="1"/>
        <v>0.56074454500558746</v>
      </c>
      <c r="K75" s="21">
        <f t="shared" ca="1" si="1"/>
        <v>16.295314707129762</v>
      </c>
      <c r="L75" s="21">
        <f t="shared" ca="1" si="2"/>
        <v>8.9659030788398297</v>
      </c>
      <c r="M75" s="22"/>
      <c r="N75" s="21"/>
      <c r="O75" s="23">
        <f ca="1"/>
        <v>242.68199999999433</v>
      </c>
      <c r="P75" s="21">
        <f ca="1"/>
        <v>226.38668529286457</v>
      </c>
      <c r="Q75" s="21" t="str">
        <f ca="1"/>
        <v>Training</v>
      </c>
      <c r="R75" s="21">
        <f ca="1"/>
        <v>6.714677935376395</v>
      </c>
    </row>
    <row r="76" spans="1:18" x14ac:dyDescent="0.3">
      <c r="A76" s="23" t="str">
        <f ca="1"/>
        <v>RT8</v>
      </c>
      <c r="B76" s="21">
        <f ca="1"/>
        <v>170</v>
      </c>
      <c r="C76" s="21" t="str">
        <f ca="1"/>
        <v>Solidification</v>
      </c>
      <c r="D76" s="21">
        <f ca="1"/>
        <v>1</v>
      </c>
      <c r="E76" s="21">
        <f ca="1"/>
        <v>2</v>
      </c>
      <c r="F76" s="21">
        <f ca="1"/>
        <v>9.2355319538814236</v>
      </c>
      <c r="G76" s="21">
        <f ca="1"/>
        <v>177.19746032724149</v>
      </c>
      <c r="H76" s="21">
        <f ca="1"/>
        <v>19.186492040966908</v>
      </c>
      <c r="I76" s="21" t="str">
        <f ca="1"/>
        <v>Training</v>
      </c>
      <c r="J76" s="24">
        <f ca="1"/>
        <v>0.36208439271980908</v>
      </c>
      <c r="K76" s="21">
        <f t="shared" ca="1" si="1"/>
        <v>-8.2361874977883645</v>
      </c>
      <c r="L76" s="21">
        <f t="shared" ca="1" si="2"/>
        <v>-56.518636593913016</v>
      </c>
      <c r="M76" s="22"/>
      <c r="N76" s="21"/>
      <c r="O76" s="23">
        <f ca="1"/>
        <v>177.19746032724149</v>
      </c>
      <c r="P76" s="21">
        <f ca="1"/>
        <v>185.43364782502985</v>
      </c>
      <c r="Q76" s="21" t="str">
        <f ca="1"/>
        <v>Training</v>
      </c>
      <c r="R76" s="21">
        <f ca="1"/>
        <v>4.6480279585148052</v>
      </c>
    </row>
    <row r="77" spans="1:18" x14ac:dyDescent="0.3">
      <c r="A77" s="23" t="str">
        <f ca="1"/>
        <v>RT8</v>
      </c>
      <c r="B77" s="21">
        <f ca="1"/>
        <v>170</v>
      </c>
      <c r="C77" s="21" t="str">
        <f ca="1"/>
        <v>Solidification</v>
      </c>
      <c r="D77" s="21">
        <f ca="1"/>
        <v>0.5</v>
      </c>
      <c r="E77" s="21">
        <f ca="1"/>
        <v>3</v>
      </c>
      <c r="F77" s="21">
        <f ca="1"/>
        <v>7.7242423058830347</v>
      </c>
      <c r="G77" s="21">
        <f ca="1"/>
        <v>178.55986063999981</v>
      </c>
      <c r="H77" s="21">
        <f ca="1"/>
        <v>23.116812441785104</v>
      </c>
      <c r="I77" s="21" t="str">
        <f ca="1"/>
        <v>Training</v>
      </c>
      <c r="J77" s="24">
        <f ca="1"/>
        <v>0.22304621163142213</v>
      </c>
      <c r="K77" s="21">
        <f t="shared" ca="1" si="1"/>
        <v>23.470317924234223</v>
      </c>
      <c r="L77" s="21">
        <f t="shared" ca="1" si="2"/>
        <v>-55.15623628115469</v>
      </c>
      <c r="M77" s="22"/>
      <c r="N77" s="21"/>
      <c r="O77" s="23">
        <f ca="1"/>
        <v>178.55986063999981</v>
      </c>
      <c r="P77" s="21">
        <f ca="1"/>
        <v>155.08954271576559</v>
      </c>
      <c r="Q77" s="21" t="str">
        <f ca="1"/>
        <v>Training</v>
      </c>
      <c r="R77" s="21">
        <f ca="1"/>
        <v>13.144229526227887</v>
      </c>
    </row>
    <row r="78" spans="1:18" x14ac:dyDescent="0.3">
      <c r="A78" s="23" t="str">
        <f ca="1"/>
        <v>RT11</v>
      </c>
      <c r="B78" s="21">
        <f ca="1"/>
        <v>170</v>
      </c>
      <c r="C78" s="21" t="str">
        <f ca="1"/>
        <v>Solidification</v>
      </c>
      <c r="D78" s="21">
        <f ca="1"/>
        <v>0.5</v>
      </c>
      <c r="E78" s="21">
        <f ca="1"/>
        <v>3</v>
      </c>
      <c r="F78" s="21">
        <f ca="1"/>
        <v>14.158822452174912</v>
      </c>
      <c r="G78" s="21">
        <f ca="1"/>
        <v>270.25498746086953</v>
      </c>
      <c r="H78" s="21">
        <f ca="1"/>
        <v>19.087391509691273</v>
      </c>
      <c r="I78" s="21" t="str">
        <f ca="1"/>
        <v>Training</v>
      </c>
      <c r="J78" s="24">
        <f ca="1"/>
        <v>0.6239868899708364</v>
      </c>
      <c r="K78" s="21">
        <f t="shared" ca="1" si="1"/>
        <v>-14.029892860539348</v>
      </c>
      <c r="L78" s="21">
        <f t="shared" ca="1" si="2"/>
        <v>36.538890539715027</v>
      </c>
      <c r="M78" s="22"/>
      <c r="N78" s="21"/>
      <c r="O78" s="23">
        <f ca="1"/>
        <v>270.25498746086953</v>
      </c>
      <c r="P78" s="21">
        <f ca="1"/>
        <v>284.28488032140888</v>
      </c>
      <c r="Q78" s="21" t="str">
        <f ca="1"/>
        <v>Training</v>
      </c>
      <c r="R78" s="21">
        <f ca="1"/>
        <v>5.1913539107472531</v>
      </c>
    </row>
    <row r="79" spans="1:18" x14ac:dyDescent="0.3">
      <c r="A79" s="23" t="str">
        <f ca="1"/>
        <v>RT8</v>
      </c>
      <c r="B79" s="21">
        <f ca="1"/>
        <v>170</v>
      </c>
      <c r="C79" s="21" t="str">
        <f ca="1"/>
        <v>Melting</v>
      </c>
      <c r="D79" s="21">
        <f ca="1"/>
        <v>0.5</v>
      </c>
      <c r="E79" s="21">
        <f ca="1"/>
        <v>2</v>
      </c>
      <c r="F79" s="21">
        <f ca="1"/>
        <v>6.9327748784655023</v>
      </c>
      <c r="G79" s="21">
        <f ca="1"/>
        <v>136.08228581679037</v>
      </c>
      <c r="H79" s="21">
        <f ca="1"/>
        <v>19.62883379344791</v>
      </c>
      <c r="I79" s="21" t="str">
        <f ca="1"/>
        <v>Training</v>
      </c>
      <c r="J79" s="24">
        <f ca="1"/>
        <v>0.57127301729039481</v>
      </c>
      <c r="K79" s="21">
        <f t="shared" ca="1" si="1"/>
        <v>-3.1159478835758136</v>
      </c>
      <c r="L79" s="21">
        <f t="shared" ca="1" si="2"/>
        <v>-97.633811104364128</v>
      </c>
      <c r="M79" s="22"/>
      <c r="N79" s="21"/>
      <c r="O79" s="23">
        <f ca="1"/>
        <v>136.08228581679037</v>
      </c>
      <c r="P79" s="21">
        <f ca="1"/>
        <v>139.19823370036619</v>
      </c>
      <c r="Q79" s="21" t="str">
        <f ca="1"/>
        <v>Training</v>
      </c>
      <c r="R79" s="21">
        <f ca="1"/>
        <v>2.2897527513396279</v>
      </c>
    </row>
    <row r="80" spans="1:18" x14ac:dyDescent="0.3">
      <c r="A80" s="23" t="str">
        <f ca="1"/>
        <v>RT24</v>
      </c>
      <c r="B80" s="21">
        <f ca="1"/>
        <v>170</v>
      </c>
      <c r="C80" s="21" t="str">
        <f ca="1"/>
        <v>Solidification</v>
      </c>
      <c r="D80" s="21">
        <f ca="1"/>
        <v>1</v>
      </c>
      <c r="E80" s="21">
        <f ca="1"/>
        <v>1</v>
      </c>
      <c r="F80" s="21">
        <f ca="1"/>
        <v>19.086000000000098</v>
      </c>
      <c r="G80" s="21">
        <f ca="1"/>
        <v>387.39479999999998</v>
      </c>
      <c r="H80" s="21">
        <f ca="1"/>
        <v>20.297327884313002</v>
      </c>
      <c r="I80" s="21" t="str">
        <f ca="1"/>
        <v>Training</v>
      </c>
      <c r="J80" s="24">
        <f ca="1"/>
        <v>0.3259645490814892</v>
      </c>
      <c r="K80" s="21">
        <f t="shared" ca="1" si="1"/>
        <v>4.1806418917470864</v>
      </c>
      <c r="L80" s="21">
        <f t="shared" ca="1" si="2"/>
        <v>153.67870307884547</v>
      </c>
      <c r="M80" s="22"/>
      <c r="N80" s="21"/>
      <c r="O80" s="23">
        <f ca="1"/>
        <v>387.39479999999998</v>
      </c>
      <c r="P80" s="21">
        <f ca="1"/>
        <v>383.21415810825289</v>
      </c>
      <c r="Q80" s="21" t="str">
        <f ca="1"/>
        <v>Training</v>
      </c>
      <c r="R80" s="21">
        <f ca="1"/>
        <v>1.0791683036909856</v>
      </c>
    </row>
    <row r="81" spans="1:18" x14ac:dyDescent="0.3">
      <c r="A81" s="23" t="str">
        <f ca="1"/>
        <v>RT8</v>
      </c>
      <c r="B81" s="21">
        <f ca="1"/>
        <v>170</v>
      </c>
      <c r="C81" s="21" t="str">
        <f ca="1"/>
        <v>Solidification</v>
      </c>
      <c r="D81" s="21">
        <f ca="1"/>
        <v>0.5</v>
      </c>
      <c r="E81" s="21">
        <f ca="1"/>
        <v>2</v>
      </c>
      <c r="F81" s="21">
        <f ca="1"/>
        <v>8.9898000000008071</v>
      </c>
      <c r="G81" s="21">
        <f ca="1"/>
        <v>184.20239999999984</v>
      </c>
      <c r="H81" s="21">
        <f ca="1"/>
        <v>20.490155509575661</v>
      </c>
      <c r="I81" s="21" t="str">
        <f ca="1"/>
        <v>Training</v>
      </c>
      <c r="J81" s="24">
        <f ca="1"/>
        <v>0.33681929260744836</v>
      </c>
      <c r="K81" s="21">
        <f t="shared" ca="1" si="1"/>
        <v>3.7026285150441822</v>
      </c>
      <c r="L81" s="21">
        <f t="shared" ca="1" si="2"/>
        <v>-49.513696921154661</v>
      </c>
      <c r="M81" s="22"/>
      <c r="N81" s="21"/>
      <c r="O81" s="23">
        <f ca="1"/>
        <v>184.20239999999984</v>
      </c>
      <c r="P81" s="21">
        <f ca="1"/>
        <v>180.49977148495566</v>
      </c>
      <c r="Q81" s="21" t="str">
        <f ca="1"/>
        <v>Training</v>
      </c>
      <c r="R81" s="21">
        <f ca="1"/>
        <v>2.0100870102909547</v>
      </c>
    </row>
    <row r="82" spans="1:18" x14ac:dyDescent="0.3">
      <c r="A82" s="23" t="str">
        <f ca="1"/>
        <v>RT24</v>
      </c>
      <c r="B82" s="21">
        <f ca="1"/>
        <v>170</v>
      </c>
      <c r="C82" s="21" t="str">
        <f ca="1"/>
        <v>Solidification</v>
      </c>
      <c r="D82" s="21">
        <f ca="1"/>
        <v>1</v>
      </c>
      <c r="E82" s="21">
        <f ca="1"/>
        <v>2</v>
      </c>
      <c r="F82" s="21">
        <f ca="1"/>
        <v>17.790648849835058</v>
      </c>
      <c r="G82" s="21">
        <f ca="1"/>
        <v>369.31674307917132</v>
      </c>
      <c r="H82" s="21">
        <f ca="1"/>
        <v>20.759037300800603</v>
      </c>
      <c r="I82" s="21" t="str">
        <f ca="1"/>
        <v>Training</v>
      </c>
      <c r="J82" s="24">
        <f ca="1"/>
        <v>0.87907407255548731</v>
      </c>
      <c r="K82" s="21">
        <f t="shared" ca="1" si="1"/>
        <v>12.111015258304462</v>
      </c>
      <c r="L82" s="21">
        <f t="shared" ca="1" si="2"/>
        <v>135.60064615801681</v>
      </c>
      <c r="M82" s="22"/>
      <c r="N82" s="21"/>
      <c r="O82" s="23">
        <f ca="1"/>
        <v>369.31674307917132</v>
      </c>
      <c r="P82" s="21">
        <f ca="1"/>
        <v>357.20572782086685</v>
      </c>
      <c r="Q82" s="21" t="str">
        <f ca="1"/>
        <v>Training</v>
      </c>
      <c r="R82" s="21">
        <f ca="1"/>
        <v>3.2793030603836435</v>
      </c>
    </row>
    <row r="83" spans="1:18" x14ac:dyDescent="0.3">
      <c r="A83" s="23" t="str">
        <f ca="1"/>
        <v>RT24</v>
      </c>
      <c r="B83" s="21">
        <f ca="1"/>
        <v>170</v>
      </c>
      <c r="C83" s="21" t="str">
        <f ca="1"/>
        <v>Melting</v>
      </c>
      <c r="D83" s="21">
        <f ca="1"/>
        <v>0.5</v>
      </c>
      <c r="E83" s="21">
        <f ca="1"/>
        <v>1</v>
      </c>
      <c r="F83" s="21">
        <f ca="1"/>
        <v>10.128440696018268</v>
      </c>
      <c r="G83" s="21">
        <f ca="1"/>
        <v>212.52860331422897</v>
      </c>
      <c r="H83" s="21">
        <f ca="1"/>
        <v>20.983348739730392</v>
      </c>
      <c r="I83" s="21" t="str">
        <f ca="1"/>
        <v>Training</v>
      </c>
      <c r="J83" s="24">
        <f ca="1"/>
        <v>0.47325159852116216</v>
      </c>
      <c r="K83" s="21">
        <f t="shared" ca="1" si="1"/>
        <v>9.1668787897614266</v>
      </c>
      <c r="L83" s="21">
        <f t="shared" ca="1" si="2"/>
        <v>-21.187493606925528</v>
      </c>
      <c r="M83" s="22"/>
      <c r="N83" s="21"/>
      <c r="O83" s="23">
        <f ca="1"/>
        <v>212.52860331422897</v>
      </c>
      <c r="P83" s="21">
        <f ca="1"/>
        <v>203.36172452446755</v>
      </c>
      <c r="Q83" s="21" t="str">
        <f ca="1"/>
        <v>Training</v>
      </c>
      <c r="R83" s="21">
        <f ca="1"/>
        <v>4.3132447335608575</v>
      </c>
    </row>
    <row r="84" spans="1:18" x14ac:dyDescent="0.3">
      <c r="A84" s="23" t="str">
        <f ca="1"/>
        <v>RT24</v>
      </c>
      <c r="B84" s="21">
        <f ca="1"/>
        <v>170</v>
      </c>
      <c r="C84" s="21" t="str">
        <f ca="1"/>
        <v>Solidification</v>
      </c>
      <c r="D84" s="21">
        <f ca="1"/>
        <v>0.5</v>
      </c>
      <c r="E84" s="21">
        <f ca="1"/>
        <v>1</v>
      </c>
      <c r="F84" s="21">
        <f ca="1"/>
        <v>14.747651848983457</v>
      </c>
      <c r="G84" s="21">
        <f ca="1"/>
        <v>292.58543252599304</v>
      </c>
      <c r="H84" s="21">
        <f ca="1"/>
        <v>19.839458886206398</v>
      </c>
      <c r="I84" s="21" t="str">
        <f ca="1"/>
        <v>Training</v>
      </c>
      <c r="J84" s="24">
        <f ca="1"/>
        <v>0.78083917401040859</v>
      </c>
      <c r="K84" s="21">
        <f t="shared" ca="1" si="1"/>
        <v>-3.5221325678865583</v>
      </c>
      <c r="L84" s="21">
        <f t="shared" ca="1" si="2"/>
        <v>58.86933560483854</v>
      </c>
      <c r="M84" s="22"/>
      <c r="N84" s="21"/>
      <c r="O84" s="23">
        <f ca="1"/>
        <v>292.58543252599304</v>
      </c>
      <c r="P84" s="21">
        <f ca="1"/>
        <v>296.1075650938796</v>
      </c>
      <c r="Q84" s="21" t="str">
        <f ca="1"/>
        <v>Training</v>
      </c>
      <c r="R84" s="21">
        <f ca="1"/>
        <v>1.2037962852349646</v>
      </c>
    </row>
    <row r="85" spans="1:18" x14ac:dyDescent="0.3">
      <c r="A85" s="23" t="str">
        <f ca="1"/>
        <v>RT11</v>
      </c>
      <c r="B85" s="21">
        <f ca="1"/>
        <v>170</v>
      </c>
      <c r="C85" s="21" t="str">
        <f ca="1"/>
        <v>Melting</v>
      </c>
      <c r="D85" s="21">
        <f ca="1"/>
        <v>0.5</v>
      </c>
      <c r="E85" s="21">
        <f ca="1"/>
        <v>3</v>
      </c>
      <c r="F85" s="21">
        <f ca="1"/>
        <v>13.394999999995163</v>
      </c>
      <c r="G85" s="21">
        <f ca="1"/>
        <v>240.30809999999769</v>
      </c>
      <c r="H85" s="21">
        <f ca="1"/>
        <v>17.940134378505746</v>
      </c>
      <c r="I85" s="21" t="str">
        <f ca="1"/>
        <v>Training</v>
      </c>
      <c r="J85" s="24">
        <f ca="1"/>
        <v>0.81093116534664134</v>
      </c>
      <c r="K85" s="21">
        <f t="shared" ca="1" si="1"/>
        <v>-28.640535013004921</v>
      </c>
      <c r="L85" s="21">
        <f t="shared" ca="1" si="2"/>
        <v>6.5920030788431916</v>
      </c>
      <c r="M85" s="22"/>
      <c r="N85" s="21"/>
      <c r="O85" s="23">
        <f ca="1"/>
        <v>240.30809999999769</v>
      </c>
      <c r="P85" s="21">
        <f ca="1"/>
        <v>268.94863501300262</v>
      </c>
      <c r="Q85" s="21" t="str">
        <f ca="1"/>
        <v>Training</v>
      </c>
      <c r="R85" s="21">
        <f ca="1"/>
        <v>11.918256194029746</v>
      </c>
    </row>
    <row r="86" spans="1:18" x14ac:dyDescent="0.3">
      <c r="A86" s="23"/>
      <c r="B86" s="21"/>
      <c r="C86" s="21"/>
      <c r="D86" s="21"/>
      <c r="E86" s="21"/>
      <c r="F86" s="21"/>
      <c r="G86" s="21"/>
      <c r="H86" s="21"/>
      <c r="I86" s="21"/>
      <c r="J86" s="24"/>
      <c r="K86" s="21"/>
      <c r="L86" s="21"/>
      <c r="M86" s="22"/>
      <c r="N86" s="21"/>
      <c r="O86" s="23"/>
      <c r="P86" s="21"/>
      <c r="Q86" s="21"/>
      <c r="R86" s="21"/>
    </row>
    <row r="87" spans="1:18" x14ac:dyDescent="0.3">
      <c r="A87" s="23"/>
      <c r="B87" s="21"/>
      <c r="C87" s="21"/>
      <c r="D87" s="21"/>
      <c r="E87" s="21"/>
      <c r="F87" s="21"/>
      <c r="G87" s="21"/>
      <c r="H87" s="21"/>
      <c r="I87" s="21"/>
      <c r="J87" s="24"/>
      <c r="K87" s="21"/>
      <c r="L87" s="21"/>
      <c r="M87" s="22"/>
      <c r="N87" s="21"/>
      <c r="O87" s="23"/>
      <c r="P87" s="21"/>
      <c r="Q87" s="21"/>
      <c r="R87" s="21"/>
    </row>
    <row r="88" spans="1:18" x14ac:dyDescent="0.3">
      <c r="A88" s="23"/>
      <c r="B88" s="21"/>
      <c r="C88" s="21"/>
      <c r="D88" s="21"/>
      <c r="E88" s="21"/>
      <c r="F88" s="21"/>
      <c r="G88" s="21"/>
      <c r="H88" s="21"/>
      <c r="I88" s="21"/>
      <c r="J88" s="24"/>
      <c r="K88" s="21"/>
      <c r="L88" s="21"/>
      <c r="M88" s="22"/>
      <c r="N88" s="21"/>
      <c r="O88" s="23"/>
      <c r="P88" s="21"/>
      <c r="Q88" s="21"/>
      <c r="R88" s="21"/>
    </row>
    <row r="89" spans="1:18" x14ac:dyDescent="0.3">
      <c r="A89" s="23"/>
      <c r="B89" s="21"/>
      <c r="C89" s="21"/>
      <c r="D89" s="21"/>
      <c r="E89" s="21"/>
      <c r="F89" s="21"/>
      <c r="G89" s="21"/>
      <c r="H89" s="21"/>
      <c r="I89" s="21"/>
      <c r="J89" s="24"/>
      <c r="K89" s="21"/>
      <c r="L89" s="21"/>
      <c r="M89" s="22"/>
      <c r="N89" s="21"/>
      <c r="O89" s="23"/>
      <c r="P89" s="21"/>
      <c r="Q89" s="21"/>
      <c r="R89" s="21"/>
    </row>
    <row r="90" spans="1:18" x14ac:dyDescent="0.3">
      <c r="A90" s="23"/>
      <c r="B90" s="21"/>
      <c r="C90" s="21"/>
      <c r="D90" s="21"/>
      <c r="E90" s="21"/>
      <c r="F90" s="21"/>
      <c r="G90" s="21"/>
      <c r="H90" s="21"/>
      <c r="I90" s="21"/>
      <c r="J90" s="24"/>
      <c r="K90" s="21"/>
      <c r="L90" s="21"/>
      <c r="M90" s="22"/>
      <c r="N90" s="21"/>
      <c r="O90" s="23"/>
      <c r="P90" s="21"/>
      <c r="Q90" s="21"/>
      <c r="R90" s="21"/>
    </row>
    <row r="91" spans="1:18" x14ac:dyDescent="0.3">
      <c r="A91" s="23"/>
      <c r="B91" s="21"/>
      <c r="C91" s="21"/>
      <c r="D91" s="21"/>
      <c r="E91" s="21"/>
      <c r="F91" s="21"/>
      <c r="G91" s="21"/>
      <c r="H91" s="21"/>
      <c r="I91" s="21"/>
      <c r="J91" s="24"/>
      <c r="K91" s="21"/>
      <c r="L91" s="21"/>
      <c r="M91" s="22"/>
      <c r="N91" s="21"/>
      <c r="O91" s="23"/>
      <c r="P91" s="21"/>
      <c r="Q91" s="21"/>
      <c r="R91" s="21"/>
    </row>
    <row r="92" spans="1:18" x14ac:dyDescent="0.3">
      <c r="A92" s="23"/>
      <c r="B92" s="21"/>
      <c r="C92" s="21"/>
      <c r="D92" s="21"/>
      <c r="E92" s="21"/>
      <c r="F92" s="21"/>
      <c r="G92" s="21"/>
      <c r="H92" s="21"/>
      <c r="I92" s="21"/>
      <c r="J92" s="24"/>
      <c r="K92" s="21"/>
      <c r="L92" s="21"/>
      <c r="M92" s="22"/>
      <c r="N92" s="21"/>
      <c r="O92" s="23"/>
      <c r="P92" s="21"/>
      <c r="Q92" s="21"/>
      <c r="R92" s="21"/>
    </row>
    <row r="93" spans="1:18" x14ac:dyDescent="0.3">
      <c r="A93" s="23"/>
      <c r="B93" s="21"/>
      <c r="C93" s="21"/>
      <c r="D93" s="21"/>
      <c r="E93" s="21"/>
      <c r="F93" s="21"/>
      <c r="G93" s="21"/>
      <c r="H93" s="21"/>
      <c r="I93" s="21"/>
      <c r="J93" s="24"/>
      <c r="K93" s="21"/>
      <c r="L93" s="21"/>
      <c r="M93" s="22"/>
      <c r="N93" s="21"/>
      <c r="O93" s="23"/>
      <c r="P93" s="21"/>
      <c r="Q93" s="21"/>
      <c r="R93" s="21"/>
    </row>
    <row r="94" spans="1:18" x14ac:dyDescent="0.3">
      <c r="A94" s="23"/>
      <c r="B94" s="21"/>
      <c r="C94" s="21"/>
      <c r="D94" s="21"/>
      <c r="E94" s="21"/>
      <c r="F94" s="21"/>
      <c r="G94" s="21"/>
      <c r="H94" s="21"/>
      <c r="I94" s="21"/>
      <c r="J94" s="24"/>
      <c r="K94" s="21"/>
      <c r="L94" s="21"/>
      <c r="M94" s="22"/>
      <c r="N94" s="21"/>
      <c r="O94" s="23"/>
      <c r="P94" s="21"/>
      <c r="Q94" s="21"/>
      <c r="R94" s="21"/>
    </row>
    <row r="95" spans="1:18" x14ac:dyDescent="0.3">
      <c r="A95" s="23"/>
      <c r="B95" s="21"/>
      <c r="C95" s="21"/>
      <c r="D95" s="21"/>
      <c r="E95" s="21"/>
      <c r="F95" s="21"/>
      <c r="G95" s="21"/>
      <c r="H95" s="21"/>
      <c r="I95" s="21"/>
      <c r="J95" s="24"/>
      <c r="K95" s="21"/>
      <c r="L95" s="21"/>
      <c r="M95" s="22"/>
      <c r="N95" s="21"/>
      <c r="O95" s="23"/>
      <c r="P95" s="21"/>
      <c r="Q95" s="21"/>
      <c r="R95" s="21"/>
    </row>
    <row r="96" spans="1:18" x14ac:dyDescent="0.3">
      <c r="A96" s="23"/>
      <c r="B96" s="21"/>
      <c r="C96" s="21"/>
      <c r="D96" s="21"/>
      <c r="E96" s="21"/>
      <c r="F96" s="21"/>
      <c r="G96" s="21"/>
      <c r="H96" s="21"/>
      <c r="I96" s="21"/>
      <c r="J96" s="24"/>
      <c r="K96" s="21"/>
      <c r="L96" s="21"/>
      <c r="M96" s="22"/>
      <c r="N96" s="21"/>
      <c r="O96" s="23"/>
      <c r="P96" s="21"/>
      <c r="Q96" s="21"/>
      <c r="R96" s="21"/>
    </row>
    <row r="97" spans="1:18" x14ac:dyDescent="0.3">
      <c r="A97" s="23"/>
      <c r="B97" s="21"/>
      <c r="C97" s="21"/>
      <c r="D97" s="21"/>
      <c r="E97" s="21"/>
      <c r="F97" s="21"/>
      <c r="G97" s="21"/>
      <c r="H97" s="21"/>
      <c r="I97" s="21"/>
      <c r="J97" s="24"/>
      <c r="K97" s="21"/>
      <c r="L97" s="21"/>
      <c r="M97" s="22"/>
      <c r="N97" s="21"/>
      <c r="O97" s="23"/>
      <c r="P97" s="21"/>
      <c r="Q97" s="21"/>
      <c r="R97" s="21"/>
    </row>
    <row r="98" spans="1:18" x14ac:dyDescent="0.3">
      <c r="A98" s="23"/>
      <c r="B98" s="21"/>
      <c r="C98" s="21"/>
      <c r="D98" s="21"/>
      <c r="E98" s="21"/>
      <c r="F98" s="21"/>
      <c r="G98" s="21"/>
      <c r="H98" s="21"/>
      <c r="I98" s="21"/>
      <c r="J98" s="24"/>
      <c r="K98" s="21"/>
      <c r="L98" s="21"/>
      <c r="M98" s="22"/>
      <c r="N98" s="21"/>
      <c r="O98" s="23"/>
      <c r="P98" s="21"/>
      <c r="Q98" s="21"/>
      <c r="R98" s="21"/>
    </row>
    <row r="99" spans="1:18" x14ac:dyDescent="0.3">
      <c r="A99" s="23"/>
      <c r="B99" s="21"/>
      <c r="C99" s="21"/>
      <c r="D99" s="21"/>
      <c r="E99" s="21"/>
      <c r="F99" s="21"/>
      <c r="G99" s="21"/>
      <c r="H99" s="21"/>
      <c r="I99" s="21"/>
      <c r="J99" s="24"/>
      <c r="K99" s="21"/>
      <c r="L99" s="21"/>
      <c r="M99" s="22"/>
      <c r="N99" s="21"/>
      <c r="O99" s="23"/>
      <c r="P99" s="21"/>
      <c r="Q99" s="21"/>
      <c r="R99" s="21"/>
    </row>
    <row r="100" spans="1:18" x14ac:dyDescent="0.3">
      <c r="A100" s="23"/>
      <c r="B100" s="21"/>
      <c r="C100" s="21"/>
      <c r="D100" s="21"/>
      <c r="E100" s="21"/>
      <c r="F100" s="21"/>
      <c r="G100" s="21"/>
      <c r="H100" s="21"/>
      <c r="I100" s="21"/>
      <c r="J100" s="24"/>
      <c r="K100" s="21"/>
      <c r="L100" s="21"/>
      <c r="M100" s="22"/>
      <c r="N100" s="21"/>
      <c r="O100" s="23"/>
      <c r="P100" s="21"/>
      <c r="Q100" s="21"/>
      <c r="R100" s="21"/>
    </row>
    <row r="101" spans="1:18" x14ac:dyDescent="0.3">
      <c r="A101" s="23"/>
      <c r="B101" s="21"/>
      <c r="C101" s="21"/>
      <c r="D101" s="21"/>
      <c r="E101" s="21"/>
      <c r="F101" s="21"/>
      <c r="G101" s="21"/>
      <c r="H101" s="21"/>
      <c r="I101" s="21"/>
      <c r="J101" s="24"/>
      <c r="K101" s="21"/>
      <c r="L101" s="21"/>
      <c r="M101" s="22"/>
      <c r="N101" s="21"/>
      <c r="O101" s="23"/>
      <c r="P101" s="21"/>
      <c r="Q101" s="21"/>
      <c r="R101" s="21"/>
    </row>
    <row r="102" spans="1:18" x14ac:dyDescent="0.3">
      <c r="A102" s="23"/>
      <c r="B102" s="21"/>
      <c r="C102" s="21"/>
      <c r="D102" s="21"/>
      <c r="E102" s="21"/>
      <c r="F102" s="21"/>
      <c r="G102" s="21"/>
      <c r="H102" s="21"/>
      <c r="I102" s="21"/>
      <c r="J102" s="24"/>
      <c r="K102" s="21"/>
      <c r="L102" s="21"/>
      <c r="M102" s="22"/>
      <c r="N102" s="21"/>
      <c r="O102" s="23"/>
      <c r="P102" s="21"/>
      <c r="Q102" s="21"/>
      <c r="R102" s="21"/>
    </row>
    <row r="103" spans="1:18" x14ac:dyDescent="0.3">
      <c r="A103" s="23"/>
      <c r="B103" s="21"/>
      <c r="C103" s="21"/>
      <c r="D103" s="21"/>
      <c r="E103" s="21"/>
      <c r="F103" s="21"/>
      <c r="G103" s="21"/>
      <c r="H103" s="21"/>
      <c r="I103" s="21"/>
      <c r="J103" s="24"/>
      <c r="K103" s="21"/>
      <c r="L103" s="21"/>
      <c r="M103" s="22"/>
      <c r="N103" s="21"/>
      <c r="O103" s="23"/>
      <c r="P103" s="21"/>
      <c r="Q103" s="21"/>
      <c r="R103" s="21"/>
    </row>
    <row r="104" spans="1:18" x14ac:dyDescent="0.3">
      <c r="A104" s="23"/>
      <c r="B104" s="21"/>
      <c r="C104" s="21"/>
      <c r="D104" s="21"/>
      <c r="E104" s="21"/>
      <c r="F104" s="21"/>
      <c r="G104" s="21"/>
      <c r="H104" s="21"/>
      <c r="I104" s="21"/>
      <c r="J104" s="24"/>
      <c r="K104" s="21"/>
      <c r="L104" s="21"/>
      <c r="M104" s="22"/>
      <c r="N104" s="21"/>
      <c r="O104" s="23"/>
      <c r="P104" s="21"/>
      <c r="Q104" s="21"/>
      <c r="R104" s="21"/>
    </row>
    <row r="105" spans="1:18" x14ac:dyDescent="0.3">
      <c r="A105" s="23"/>
      <c r="B105" s="21"/>
      <c r="C105" s="21"/>
      <c r="D105" s="21"/>
      <c r="E105" s="21"/>
      <c r="F105" s="21"/>
      <c r="G105" s="21"/>
      <c r="H105" s="21"/>
      <c r="I105" s="21"/>
      <c r="J105" s="24"/>
      <c r="K105" s="21"/>
      <c r="L105" s="21"/>
      <c r="M105" s="22"/>
      <c r="N105" s="21"/>
      <c r="O105" s="23"/>
      <c r="P105" s="21"/>
      <c r="Q105" s="21"/>
      <c r="R105" s="21"/>
    </row>
    <row r="106" spans="1:18" x14ac:dyDescent="0.3">
      <c r="A106" s="23"/>
      <c r="B106" s="21"/>
      <c r="C106" s="21"/>
      <c r="D106" s="21"/>
      <c r="E106" s="21"/>
      <c r="F106" s="21"/>
      <c r="G106" s="21"/>
      <c r="H106" s="21"/>
      <c r="I106" s="21"/>
      <c r="J106" s="24"/>
      <c r="K106" s="21"/>
      <c r="L106" s="21"/>
      <c r="M106" s="22"/>
      <c r="N106" s="21"/>
      <c r="O106" s="23"/>
      <c r="P106" s="21"/>
      <c r="Q106" s="21"/>
      <c r="R106" s="21"/>
    </row>
    <row r="107" spans="1:18" x14ac:dyDescent="0.3">
      <c r="A107" s="23"/>
      <c r="B107" s="21"/>
      <c r="C107" s="21"/>
      <c r="D107" s="21"/>
      <c r="E107" s="21"/>
      <c r="F107" s="21"/>
      <c r="G107" s="21"/>
      <c r="H107" s="21"/>
      <c r="I107" s="21"/>
      <c r="J107" s="24"/>
      <c r="K107" s="21"/>
      <c r="L107" s="21"/>
      <c r="M107" s="22"/>
      <c r="N107" s="21"/>
      <c r="O107" s="23"/>
      <c r="P107" s="21"/>
      <c r="Q107" s="21"/>
      <c r="R107" s="21"/>
    </row>
    <row r="108" spans="1:18" x14ac:dyDescent="0.3">
      <c r="A108" s="23"/>
      <c r="B108" s="21"/>
      <c r="C108" s="21"/>
      <c r="D108" s="21"/>
      <c r="E108" s="21"/>
      <c r="F108" s="21"/>
      <c r="G108" s="21"/>
      <c r="H108" s="21"/>
      <c r="I108" s="21"/>
      <c r="J108" s="24"/>
      <c r="K108" s="21"/>
      <c r="L108" s="21"/>
      <c r="M108" s="22"/>
      <c r="N108" s="21"/>
      <c r="O108" s="23"/>
      <c r="P108" s="21"/>
      <c r="Q108" s="21"/>
      <c r="R108" s="21"/>
    </row>
    <row r="109" spans="1:18" x14ac:dyDescent="0.3">
      <c r="A109" s="23"/>
      <c r="B109" s="21"/>
      <c r="C109" s="21"/>
      <c r="D109" s="21"/>
      <c r="E109" s="21"/>
      <c r="F109" s="21"/>
      <c r="G109" s="21"/>
      <c r="H109" s="21"/>
      <c r="I109" s="21"/>
      <c r="J109" s="24"/>
      <c r="K109" s="21"/>
      <c r="L109" s="21"/>
      <c r="M109" s="22"/>
      <c r="N109" s="21"/>
      <c r="O109" s="23"/>
      <c r="P109" s="21"/>
      <c r="Q109" s="21"/>
      <c r="R109" s="21"/>
    </row>
    <row r="110" spans="1:18" x14ac:dyDescent="0.3">
      <c r="A110" s="23"/>
      <c r="B110" s="21"/>
      <c r="C110" s="21"/>
      <c r="D110" s="21"/>
      <c r="E110" s="21"/>
      <c r="F110" s="21"/>
      <c r="G110" s="21"/>
      <c r="H110" s="21"/>
      <c r="I110" s="21"/>
      <c r="J110" s="24"/>
      <c r="K110" s="21"/>
      <c r="L110" s="21"/>
      <c r="M110" s="22"/>
      <c r="N110" s="21"/>
      <c r="O110" s="23"/>
      <c r="P110" s="21"/>
      <c r="Q110" s="21"/>
      <c r="R110" s="21"/>
    </row>
    <row r="111" spans="1:18" x14ac:dyDescent="0.3">
      <c r="A111" s="23"/>
      <c r="B111" s="21"/>
      <c r="C111" s="21"/>
      <c r="D111" s="21"/>
      <c r="E111" s="21"/>
      <c r="F111" s="21"/>
      <c r="G111" s="21"/>
      <c r="H111" s="21"/>
      <c r="I111" s="21"/>
      <c r="J111" s="24"/>
      <c r="K111" s="21"/>
      <c r="L111" s="21"/>
      <c r="M111" s="22"/>
      <c r="N111" s="21"/>
      <c r="O111" s="23"/>
      <c r="P111" s="21"/>
      <c r="Q111" s="21"/>
      <c r="R111" s="21"/>
    </row>
    <row r="112" spans="1:18" x14ac:dyDescent="0.3">
      <c r="A112" s="23"/>
      <c r="B112" s="21"/>
      <c r="C112" s="21"/>
      <c r="D112" s="21"/>
      <c r="E112" s="21"/>
      <c r="F112" s="21"/>
      <c r="G112" s="21"/>
      <c r="H112" s="21"/>
      <c r="I112" s="21"/>
      <c r="J112" s="24"/>
      <c r="K112" s="21"/>
      <c r="L112" s="21"/>
      <c r="M112" s="22"/>
      <c r="N112" s="21"/>
      <c r="O112" s="23"/>
      <c r="P112" s="21"/>
      <c r="Q112" s="21"/>
      <c r="R112" s="21"/>
    </row>
    <row r="113" spans="1:18" x14ac:dyDescent="0.3">
      <c r="A113" s="23"/>
      <c r="B113" s="21"/>
      <c r="C113" s="21"/>
      <c r="D113" s="21"/>
      <c r="E113" s="21"/>
      <c r="F113" s="21"/>
      <c r="G113" s="21"/>
      <c r="H113" s="21"/>
      <c r="I113" s="21"/>
      <c r="J113" s="24"/>
      <c r="K113" s="21"/>
      <c r="L113" s="21"/>
      <c r="M113" s="22"/>
      <c r="N113" s="21"/>
      <c r="O113" s="23"/>
      <c r="P113" s="21"/>
      <c r="Q113" s="21"/>
      <c r="R113" s="21"/>
    </row>
    <row r="114" spans="1:18" x14ac:dyDescent="0.3">
      <c r="A114" s="23"/>
      <c r="B114" s="21"/>
      <c r="C114" s="21"/>
      <c r="D114" s="21"/>
      <c r="E114" s="21"/>
      <c r="F114" s="21"/>
      <c r="G114" s="21"/>
      <c r="H114" s="21"/>
      <c r="I114" s="21"/>
      <c r="J114" s="24"/>
      <c r="K114" s="21"/>
      <c r="L114" s="21"/>
      <c r="M114" s="22"/>
      <c r="N114" s="21"/>
      <c r="O114" s="23"/>
      <c r="P114" s="21"/>
      <c r="Q114" s="21"/>
      <c r="R114" s="21"/>
    </row>
    <row r="115" spans="1:18" x14ac:dyDescent="0.3">
      <c r="A115" s="23"/>
      <c r="B115" s="21"/>
      <c r="C115" s="21"/>
      <c r="D115" s="21"/>
      <c r="E115" s="21"/>
      <c r="F115" s="21"/>
      <c r="G115" s="21"/>
      <c r="H115" s="21"/>
      <c r="I115" s="21"/>
      <c r="J115" s="24"/>
      <c r="K115" s="21"/>
      <c r="L115" s="21"/>
      <c r="M115" s="22"/>
      <c r="N115" s="21"/>
      <c r="O115" s="23"/>
      <c r="P115" s="21"/>
      <c r="Q115" s="21"/>
      <c r="R115" s="21"/>
    </row>
    <row r="116" spans="1:18" x14ac:dyDescent="0.3">
      <c r="A116" s="23"/>
      <c r="B116" s="21"/>
      <c r="C116" s="21"/>
      <c r="D116" s="21"/>
      <c r="E116" s="21"/>
      <c r="F116" s="21"/>
      <c r="G116" s="21"/>
      <c r="H116" s="21"/>
      <c r="I116" s="21"/>
      <c r="J116" s="24"/>
      <c r="K116" s="21"/>
      <c r="L116" s="21"/>
      <c r="M116" s="22"/>
      <c r="N116" s="21"/>
      <c r="O116" s="23"/>
      <c r="P116" s="21"/>
      <c r="Q116" s="21"/>
      <c r="R116" s="21"/>
    </row>
    <row r="117" spans="1:18" x14ac:dyDescent="0.3">
      <c r="A117" s="23"/>
      <c r="B117" s="21"/>
      <c r="C117" s="21"/>
      <c r="D117" s="21"/>
      <c r="E117" s="21"/>
      <c r="F117" s="21"/>
      <c r="G117" s="21"/>
      <c r="H117" s="21"/>
      <c r="I117" s="21"/>
      <c r="J117" s="24"/>
      <c r="K117" s="21"/>
      <c r="L117" s="21"/>
      <c r="M117" s="22"/>
      <c r="N117" s="21"/>
      <c r="O117" s="23"/>
      <c r="P117" s="21"/>
      <c r="Q117" s="21"/>
      <c r="R117" s="21"/>
    </row>
    <row r="118" spans="1:18" x14ac:dyDescent="0.3">
      <c r="A118" s="23"/>
      <c r="B118" s="21"/>
      <c r="C118" s="21"/>
      <c r="D118" s="21"/>
      <c r="E118" s="21"/>
      <c r="F118" s="21"/>
      <c r="G118" s="21"/>
      <c r="H118" s="21"/>
      <c r="I118" s="21"/>
      <c r="J118" s="24"/>
      <c r="K118" s="21"/>
      <c r="L118" s="21"/>
      <c r="M118" s="22"/>
      <c r="N118" s="21"/>
      <c r="O118" s="23"/>
      <c r="P118" s="21"/>
      <c r="Q118" s="21"/>
      <c r="R118" s="21"/>
    </row>
    <row r="119" spans="1:18" x14ac:dyDescent="0.3">
      <c r="A119" s="23"/>
      <c r="B119" s="21"/>
      <c r="C119" s="21"/>
      <c r="D119" s="21"/>
      <c r="E119" s="21"/>
      <c r="F119" s="21"/>
      <c r="G119" s="21"/>
      <c r="H119" s="21"/>
      <c r="I119" s="21"/>
      <c r="J119" s="24"/>
      <c r="K119" s="21"/>
      <c r="L119" s="21"/>
      <c r="M119" s="22"/>
      <c r="N119" s="21"/>
      <c r="O119" s="23"/>
      <c r="P119" s="21"/>
      <c r="Q119" s="21"/>
      <c r="R119" s="21"/>
    </row>
    <row r="120" spans="1:18" x14ac:dyDescent="0.3">
      <c r="A120" s="25"/>
      <c r="B120" s="26"/>
      <c r="C120" s="26"/>
      <c r="D120" s="26"/>
      <c r="E120" s="26"/>
      <c r="F120" s="26"/>
      <c r="G120" s="26"/>
      <c r="H120" s="26"/>
      <c r="I120" s="26"/>
      <c r="J120" s="27"/>
      <c r="K120" s="21"/>
      <c r="L120" s="21"/>
      <c r="M120" s="22"/>
      <c r="N120" s="21"/>
      <c r="O120" s="25"/>
      <c r="P120" s="26"/>
      <c r="Q120" s="26"/>
      <c r="R120" s="26"/>
    </row>
    <row r="124" spans="1:18" x14ac:dyDescent="0.3">
      <c r="A124" s="28" t="str" cm="1">
        <f t="array" aca="1" ref="A124:J134" ca="1">_xlfn._xlws.FILTER(Data_T1[],Data_T1[T / V]="Validation")</f>
        <v>RT8</v>
      </c>
      <c r="B124" s="29">
        <f ca="1"/>
        <v>170</v>
      </c>
      <c r="C124" s="29" t="str">
        <f ca="1"/>
        <v>Solidification</v>
      </c>
      <c r="D124" s="29">
        <f ca="1"/>
        <v>1</v>
      </c>
      <c r="E124" s="29">
        <f ca="1"/>
        <v>1</v>
      </c>
      <c r="F124" s="29">
        <f ca="1"/>
        <v>6.9743999999999957</v>
      </c>
      <c r="G124" s="29">
        <f ca="1"/>
        <v>169.83240000000001</v>
      </c>
      <c r="H124" s="29">
        <f ca="1"/>
        <v>24.350825877494856</v>
      </c>
      <c r="I124" s="29" t="str">
        <f ca="1"/>
        <v>Validation</v>
      </c>
      <c r="J124" s="30">
        <f ca="1"/>
        <v>0.13854594648215157</v>
      </c>
      <c r="K124" s="31"/>
      <c r="L124" s="31"/>
      <c r="M124" s="32"/>
      <c r="N124" s="31"/>
      <c r="O124" s="28" cm="1">
        <f t="array" aca="1" ref="O124:R134" ca="1">_xlfn._xlws.FILTER(Estimates_T1[],Estimates_T1[T / V]="Validation")</f>
        <v>169.83240000000001</v>
      </c>
      <c r="P124" s="29">
        <f ca="1"/>
        <v>140.03399477680938</v>
      </c>
      <c r="Q124" s="29" t="str">
        <f ca="1"/>
        <v>Validation</v>
      </c>
      <c r="R124" s="29">
        <f ca="1"/>
        <v>17.545771727415161</v>
      </c>
    </row>
    <row r="125" spans="1:18" x14ac:dyDescent="0.3">
      <c r="A125" s="33" t="str">
        <f ca="1"/>
        <v>RT24</v>
      </c>
      <c r="B125" s="31">
        <f ca="1"/>
        <v>170</v>
      </c>
      <c r="C125" s="31" t="str">
        <f ca="1"/>
        <v>Melting</v>
      </c>
      <c r="D125" s="31">
        <f ca="1"/>
        <v>0.5</v>
      </c>
      <c r="E125" s="31">
        <f ca="1"/>
        <v>2</v>
      </c>
      <c r="F125" s="31">
        <f ca="1"/>
        <v>11.275199999993378</v>
      </c>
      <c r="G125" s="31">
        <f ca="1"/>
        <v>242.68199999999433</v>
      </c>
      <c r="H125" s="31">
        <f ca="1"/>
        <v>21.523520647096007</v>
      </c>
      <c r="I125" s="31" t="str">
        <f ca="1"/>
        <v>Validation</v>
      </c>
      <c r="J125" s="34">
        <f ca="1"/>
        <v>0.87907723489240186</v>
      </c>
      <c r="K125" s="31"/>
      <c r="L125" s="31"/>
      <c r="M125" s="32"/>
      <c r="N125" s="31"/>
      <c r="O125" s="33">
        <f ca="1"/>
        <v>242.68199999999433</v>
      </c>
      <c r="P125" s="31">
        <f ca="1"/>
        <v>226.38668529286457</v>
      </c>
      <c r="Q125" s="31" t="str">
        <f ca="1"/>
        <v>Validation</v>
      </c>
      <c r="R125" s="31">
        <f ca="1"/>
        <v>6.714677935376395</v>
      </c>
    </row>
    <row r="126" spans="1:18" x14ac:dyDescent="0.3">
      <c r="A126" s="33" t="str">
        <f ca="1"/>
        <v>RT11</v>
      </c>
      <c r="B126" s="31">
        <f ca="1"/>
        <v>170</v>
      </c>
      <c r="C126" s="31" t="str">
        <f ca="1"/>
        <v>Melting</v>
      </c>
      <c r="D126" s="31">
        <f ca="1"/>
        <v>1</v>
      </c>
      <c r="E126" s="31">
        <f ca="1"/>
        <v>2</v>
      </c>
      <c r="F126" s="31">
        <f ca="1"/>
        <v>11.370389065312704</v>
      </c>
      <c r="G126" s="31">
        <f ca="1"/>
        <v>218.07088535308668</v>
      </c>
      <c r="H126" s="31">
        <f ca="1"/>
        <v>19.178841119724638</v>
      </c>
      <c r="I126" s="31" t="str">
        <f ca="1"/>
        <v>Validation</v>
      </c>
      <c r="J126" s="34">
        <f ca="1"/>
        <v>0.32978424946877039</v>
      </c>
      <c r="K126" s="31"/>
      <c r="L126" s="31"/>
      <c r="M126" s="32"/>
      <c r="N126" s="31"/>
      <c r="O126" s="33">
        <f ca="1"/>
        <v>218.07088535308668</v>
      </c>
      <c r="P126" s="31">
        <f ca="1"/>
        <v>228.29791852808708</v>
      </c>
      <c r="Q126" s="31" t="str">
        <f ca="1"/>
        <v>Validation</v>
      </c>
      <c r="R126" s="31">
        <f ca="1"/>
        <v>4.6897746842461023</v>
      </c>
    </row>
    <row r="127" spans="1:18" x14ac:dyDescent="0.3">
      <c r="A127" s="33" t="str">
        <f ca="1"/>
        <v>RT24</v>
      </c>
      <c r="B127" s="31">
        <f ca="1"/>
        <v>170</v>
      </c>
      <c r="C127" s="31" t="str">
        <f ca="1"/>
        <v>Melting</v>
      </c>
      <c r="D127" s="31">
        <f ca="1"/>
        <v>0.5</v>
      </c>
      <c r="E127" s="31">
        <f ca="1"/>
        <v>3</v>
      </c>
      <c r="F127" s="31">
        <f ca="1"/>
        <v>12.827573007786603</v>
      </c>
      <c r="G127" s="31">
        <f ca="1"/>
        <v>256.02550949111617</v>
      </c>
      <c r="H127" s="31">
        <f ca="1"/>
        <v>19.958998427504827</v>
      </c>
      <c r="I127" s="31" t="str">
        <f ca="1"/>
        <v>Validation</v>
      </c>
      <c r="J127" s="34">
        <f ca="1"/>
        <v>7.9915214595837059E-3</v>
      </c>
      <c r="K127" s="31"/>
      <c r="L127" s="31"/>
      <c r="M127" s="32"/>
      <c r="N127" s="31"/>
      <c r="O127" s="33">
        <f ca="1"/>
        <v>256.02550949111617</v>
      </c>
      <c r="P127" s="31">
        <f ca="1"/>
        <v>257.55567383166022</v>
      </c>
      <c r="Q127" s="31" t="str">
        <f ca="1"/>
        <v>Validation</v>
      </c>
      <c r="R127" s="31">
        <f ca="1"/>
        <v>0.59766089073914819</v>
      </c>
    </row>
    <row r="128" spans="1:18" x14ac:dyDescent="0.3">
      <c r="A128" s="33" t="str">
        <f ca="1"/>
        <v>RT24</v>
      </c>
      <c r="B128" s="31">
        <f ca="1"/>
        <v>170</v>
      </c>
      <c r="C128" s="31" t="str">
        <f ca="1"/>
        <v>Solidification</v>
      </c>
      <c r="D128" s="31">
        <f ca="1"/>
        <v>0.5</v>
      </c>
      <c r="E128" s="31">
        <f ca="1"/>
        <v>3</v>
      </c>
      <c r="F128" s="31">
        <f ca="1"/>
        <v>15.972408843058197</v>
      </c>
      <c r="G128" s="31">
        <f ca="1"/>
        <v>309.82490270263128</v>
      </c>
      <c r="H128" s="31">
        <f ca="1"/>
        <v>19.397506396618752</v>
      </c>
      <c r="I128" s="31" t="str">
        <f ca="1"/>
        <v>Validation</v>
      </c>
      <c r="J128" s="34">
        <f ca="1"/>
        <v>0.21340756014739959</v>
      </c>
      <c r="K128" s="31"/>
      <c r="L128" s="31"/>
      <c r="M128" s="32"/>
      <c r="N128" s="31"/>
      <c r="O128" s="33">
        <f ca="1"/>
        <v>309.82490270263128</v>
      </c>
      <c r="P128" s="31">
        <f ca="1"/>
        <v>320.69858575674994</v>
      </c>
      <c r="Q128" s="31" t="str">
        <f ca="1"/>
        <v>Validation</v>
      </c>
      <c r="R128" s="31">
        <f ca="1"/>
        <v>3.5096220346610343</v>
      </c>
    </row>
    <row r="129" spans="1:18" x14ac:dyDescent="0.3">
      <c r="A129" s="33" t="str">
        <f ca="1"/>
        <v>RT8</v>
      </c>
      <c r="B129" s="31">
        <f ca="1"/>
        <v>170</v>
      </c>
      <c r="C129" s="31" t="str">
        <f ca="1"/>
        <v>Melting</v>
      </c>
      <c r="D129" s="31">
        <f ca="1"/>
        <v>1</v>
      </c>
      <c r="E129" s="31">
        <f ca="1"/>
        <v>1</v>
      </c>
      <c r="F129" s="31">
        <f ca="1"/>
        <v>7.7868000000008877</v>
      </c>
      <c r="G129" s="31">
        <f ca="1"/>
        <v>134.81040000000056</v>
      </c>
      <c r="H129" s="31">
        <f ca="1"/>
        <v>17.312683002001489</v>
      </c>
      <c r="I129" s="31" t="str">
        <f ca="1"/>
        <v>Validation</v>
      </c>
      <c r="J129" s="34">
        <f ca="1"/>
        <v>0.79885111905161099</v>
      </c>
      <c r="K129" s="31"/>
      <c r="L129" s="31"/>
      <c r="M129" s="32"/>
      <c r="N129" s="31"/>
      <c r="O129" s="33">
        <f ca="1"/>
        <v>134.81040000000056</v>
      </c>
      <c r="P129" s="31">
        <f ca="1"/>
        <v>156.34559396194427</v>
      </c>
      <c r="Q129" s="31" t="str">
        <f ca="1"/>
        <v>Validation</v>
      </c>
      <c r="R129" s="31">
        <f ca="1"/>
        <v>15.97443072785455</v>
      </c>
    </row>
    <row r="130" spans="1:18" x14ac:dyDescent="0.3">
      <c r="A130" s="33" t="str">
        <f ca="1"/>
        <v>RT24</v>
      </c>
      <c r="B130" s="31">
        <f ca="1"/>
        <v>170</v>
      </c>
      <c r="C130" s="31" t="str">
        <f ca="1"/>
        <v>Solidification</v>
      </c>
      <c r="D130" s="31">
        <f ca="1"/>
        <v>0.5</v>
      </c>
      <c r="E130" s="31">
        <f ca="1"/>
        <v>2</v>
      </c>
      <c r="F130" s="31">
        <f ca="1"/>
        <v>17.790648849835058</v>
      </c>
      <c r="G130" s="31">
        <f ca="1"/>
        <v>369.31674307917132</v>
      </c>
      <c r="H130" s="31">
        <f ca="1"/>
        <v>20.759037300800603</v>
      </c>
      <c r="I130" s="31" t="str">
        <f ca="1"/>
        <v>Validation</v>
      </c>
      <c r="J130" s="34">
        <f ca="1"/>
        <v>0.33092538131079219</v>
      </c>
      <c r="K130" s="31"/>
      <c r="L130" s="31"/>
      <c r="M130" s="32"/>
      <c r="N130" s="31"/>
      <c r="O130" s="33">
        <f ca="1"/>
        <v>369.31674307917132</v>
      </c>
      <c r="P130" s="31">
        <f ca="1"/>
        <v>357.20572782086685</v>
      </c>
      <c r="Q130" s="31" t="str">
        <f ca="1"/>
        <v>Validation</v>
      </c>
      <c r="R130" s="31">
        <f ca="1"/>
        <v>3.2793030603836435</v>
      </c>
    </row>
    <row r="131" spans="1:18" x14ac:dyDescent="0.3">
      <c r="A131" s="33" t="str">
        <f ca="1"/>
        <v>RT11</v>
      </c>
      <c r="B131" s="31">
        <f ca="1"/>
        <v>170</v>
      </c>
      <c r="C131" s="31" t="str">
        <f ca="1"/>
        <v>Solidification</v>
      </c>
      <c r="D131" s="31">
        <f ca="1"/>
        <v>0.5</v>
      </c>
      <c r="E131" s="31">
        <f ca="1"/>
        <v>1</v>
      </c>
      <c r="F131" s="31">
        <f ca="1"/>
        <v>11.393531322500698</v>
      </c>
      <c r="G131" s="31">
        <f ca="1"/>
        <v>236.18810812499981</v>
      </c>
      <c r="H131" s="31">
        <f ca="1"/>
        <v>20.730017888181866</v>
      </c>
      <c r="I131" s="31" t="str">
        <f ca="1"/>
        <v>Validation</v>
      </c>
      <c r="J131" s="34">
        <f ca="1"/>
        <v>0.1518439559565955</v>
      </c>
      <c r="K131" s="31"/>
      <c r="L131" s="31"/>
      <c r="M131" s="32"/>
      <c r="N131" s="31"/>
      <c r="O131" s="33">
        <f ca="1"/>
        <v>236.18810812499981</v>
      </c>
      <c r="P131" s="31">
        <f ca="1"/>
        <v>228.76257537630156</v>
      </c>
      <c r="Q131" s="31" t="str">
        <f ca="1"/>
        <v>Validation</v>
      </c>
      <c r="R131" s="31">
        <f ca="1"/>
        <v>3.1439062735404031</v>
      </c>
    </row>
    <row r="132" spans="1:18" x14ac:dyDescent="0.3">
      <c r="A132" s="33" t="str">
        <f ca="1"/>
        <v>RT11</v>
      </c>
      <c r="B132" s="31">
        <f ca="1"/>
        <v>170</v>
      </c>
      <c r="C132" s="31" t="str">
        <f ca="1"/>
        <v>Melting</v>
      </c>
      <c r="D132" s="31">
        <f ca="1"/>
        <v>0.5</v>
      </c>
      <c r="E132" s="31">
        <f ca="1"/>
        <v>1</v>
      </c>
      <c r="F132" s="31">
        <f ca="1"/>
        <v>12.236660066643104</v>
      </c>
      <c r="G132" s="31">
        <f ca="1"/>
        <v>246.42412532412126</v>
      </c>
      <c r="H132" s="31">
        <f ca="1"/>
        <v>20.138185091524168</v>
      </c>
      <c r="I132" s="31" t="str">
        <f ca="1"/>
        <v>Validation</v>
      </c>
      <c r="J132" s="34">
        <f ca="1"/>
        <v>0.52214621693482355</v>
      </c>
      <c r="K132" s="31"/>
      <c r="L132" s="31"/>
      <c r="M132" s="32"/>
      <c r="N132" s="31"/>
      <c r="O132" s="33">
        <f ca="1"/>
        <v>246.42412532412126</v>
      </c>
      <c r="P132" s="31">
        <f ca="1"/>
        <v>245.69115506106522</v>
      </c>
      <c r="Q132" s="31" t="str">
        <f ca="1"/>
        <v>Validation</v>
      </c>
      <c r="R132" s="31">
        <f ca="1"/>
        <v>0.29744257470406826</v>
      </c>
    </row>
    <row r="133" spans="1:18" x14ac:dyDescent="0.3">
      <c r="A133" s="33" t="str">
        <f ca="1"/>
        <v>RT8</v>
      </c>
      <c r="B133" s="31">
        <f ca="1"/>
        <v>170</v>
      </c>
      <c r="C133" s="31" t="str">
        <f ca="1"/>
        <v>Melting</v>
      </c>
      <c r="D133" s="31">
        <f ca="1"/>
        <v>0.5</v>
      </c>
      <c r="E133" s="31">
        <f ca="1"/>
        <v>3</v>
      </c>
      <c r="F133" s="31">
        <f ca="1"/>
        <v>6.6891725519443357</v>
      </c>
      <c r="G133" s="31">
        <f ca="1"/>
        <v>134.90327528622092</v>
      </c>
      <c r="H133" s="31">
        <f ca="1"/>
        <v>20.167408485674166</v>
      </c>
      <c r="I133" s="31" t="str">
        <f ca="1"/>
        <v>Validation</v>
      </c>
      <c r="J133" s="34">
        <f ca="1"/>
        <v>0.60582042153474025</v>
      </c>
      <c r="K133" s="31"/>
      <c r="L133" s="31"/>
      <c r="M133" s="32"/>
      <c r="N133" s="31"/>
      <c r="O133" s="33">
        <f ca="1"/>
        <v>134.90327528622092</v>
      </c>
      <c r="P133" s="31">
        <f ca="1"/>
        <v>134.30711662654139</v>
      </c>
      <c r="Q133" s="31" t="str">
        <f ca="1"/>
        <v>Validation</v>
      </c>
      <c r="R133" s="31">
        <f ca="1"/>
        <v>0.44191563059879491</v>
      </c>
    </row>
    <row r="134" spans="1:18" x14ac:dyDescent="0.3">
      <c r="A134" s="33" t="str">
        <f ca="1"/>
        <v>RT11</v>
      </c>
      <c r="B134" s="31">
        <f ca="1"/>
        <v>170</v>
      </c>
      <c r="C134" s="31" t="str">
        <f ca="1"/>
        <v>Melting</v>
      </c>
      <c r="D134" s="31">
        <f ca="1"/>
        <v>1</v>
      </c>
      <c r="E134" s="31">
        <f ca="1"/>
        <v>1</v>
      </c>
      <c r="F134" s="31">
        <f ca="1"/>
        <v>11.064381075029758</v>
      </c>
      <c r="G134" s="31">
        <f ca="1"/>
        <v>222.77243533078848</v>
      </c>
      <c r="H134" s="31">
        <f ca="1"/>
        <v>20.134197640168441</v>
      </c>
      <c r="I134" s="31" t="str">
        <f ca="1"/>
        <v>Validation</v>
      </c>
      <c r="J134" s="34">
        <f ca="1"/>
        <v>0.31568021173856564</v>
      </c>
      <c r="K134" s="31"/>
      <c r="L134" s="31"/>
      <c r="M134" s="32"/>
      <c r="N134" s="31"/>
      <c r="O134" s="33">
        <f ca="1"/>
        <v>222.77243533078848</v>
      </c>
      <c r="P134" s="31">
        <f ca="1"/>
        <v>222.15380271698589</v>
      </c>
      <c r="Q134" s="31" t="str">
        <f ca="1"/>
        <v>Validation</v>
      </c>
      <c r="R134" s="31">
        <f ca="1"/>
        <v>0.27769710955666438</v>
      </c>
    </row>
    <row r="135" spans="1:18" x14ac:dyDescent="0.3">
      <c r="A135" s="33"/>
      <c r="B135" s="31"/>
      <c r="C135" s="31"/>
      <c r="D135" s="31"/>
      <c r="E135" s="31"/>
      <c r="F135" s="31"/>
      <c r="G135" s="31"/>
      <c r="H135" s="31"/>
      <c r="I135" s="31"/>
      <c r="J135" s="34"/>
      <c r="K135" s="31"/>
      <c r="L135" s="31"/>
      <c r="M135" s="32"/>
      <c r="N135" s="31"/>
      <c r="O135" s="33"/>
      <c r="P135" s="31"/>
      <c r="Q135" s="31"/>
      <c r="R135" s="31"/>
    </row>
    <row r="136" spans="1:18" x14ac:dyDescent="0.3">
      <c r="A136" s="33"/>
      <c r="B136" s="31"/>
      <c r="C136" s="31"/>
      <c r="D136" s="31"/>
      <c r="E136" s="31"/>
      <c r="F136" s="31"/>
      <c r="G136" s="31"/>
      <c r="H136" s="31"/>
      <c r="I136" s="31"/>
      <c r="J136" s="34"/>
      <c r="K136" s="31"/>
      <c r="L136" s="31"/>
      <c r="M136" s="32"/>
      <c r="N136" s="31"/>
      <c r="O136" s="33"/>
      <c r="P136" s="31"/>
      <c r="Q136" s="31"/>
      <c r="R136" s="31"/>
    </row>
    <row r="137" spans="1:18" x14ac:dyDescent="0.3">
      <c r="A137" s="33"/>
      <c r="B137" s="31"/>
      <c r="C137" s="31"/>
      <c r="D137" s="31"/>
      <c r="E137" s="31"/>
      <c r="F137" s="31"/>
      <c r="G137" s="31"/>
      <c r="H137" s="31"/>
      <c r="I137" s="31"/>
      <c r="J137" s="34"/>
      <c r="K137" s="31"/>
      <c r="L137" s="31"/>
      <c r="M137" s="32"/>
      <c r="N137" s="31"/>
      <c r="O137" s="33"/>
      <c r="P137" s="31"/>
      <c r="Q137" s="31"/>
      <c r="R137" s="31"/>
    </row>
    <row r="138" spans="1:18" x14ac:dyDescent="0.3">
      <c r="A138" s="33"/>
      <c r="B138" s="31"/>
      <c r="C138" s="31"/>
      <c r="D138" s="31"/>
      <c r="E138" s="31"/>
      <c r="F138" s="31"/>
      <c r="G138" s="31"/>
      <c r="H138" s="31"/>
      <c r="I138" s="31"/>
      <c r="J138" s="34"/>
      <c r="K138" s="31"/>
      <c r="L138" s="31"/>
      <c r="M138" s="32"/>
      <c r="N138" s="31"/>
      <c r="O138" s="33"/>
      <c r="P138" s="31"/>
      <c r="Q138" s="31"/>
      <c r="R138" s="31"/>
    </row>
    <row r="139" spans="1:18" x14ac:dyDescent="0.3">
      <c r="A139" s="33"/>
      <c r="B139" s="31"/>
      <c r="C139" s="31"/>
      <c r="D139" s="31"/>
      <c r="E139" s="31"/>
      <c r="F139" s="31"/>
      <c r="G139" s="31"/>
      <c r="H139" s="31"/>
      <c r="I139" s="31"/>
      <c r="J139" s="34"/>
      <c r="K139" s="31"/>
      <c r="L139" s="31"/>
      <c r="M139" s="32"/>
      <c r="N139" s="31"/>
      <c r="O139" s="33"/>
      <c r="P139" s="31"/>
      <c r="Q139" s="31"/>
      <c r="R139" s="31"/>
    </row>
    <row r="140" spans="1:18" x14ac:dyDescent="0.3">
      <c r="A140" s="33"/>
      <c r="B140" s="31"/>
      <c r="C140" s="31"/>
      <c r="D140" s="31"/>
      <c r="E140" s="31"/>
      <c r="F140" s="31"/>
      <c r="G140" s="31"/>
      <c r="H140" s="31"/>
      <c r="I140" s="31"/>
      <c r="J140" s="34"/>
      <c r="K140" s="31"/>
      <c r="L140" s="31"/>
      <c r="M140" s="32"/>
      <c r="N140" s="31"/>
      <c r="O140" s="33"/>
      <c r="P140" s="31"/>
      <c r="Q140" s="31"/>
      <c r="R140" s="31"/>
    </row>
    <row r="141" spans="1:18" x14ac:dyDescent="0.3">
      <c r="A141" s="33"/>
      <c r="B141" s="31"/>
      <c r="C141" s="31"/>
      <c r="D141" s="31"/>
      <c r="E141" s="31"/>
      <c r="F141" s="31"/>
      <c r="G141" s="31"/>
      <c r="H141" s="31"/>
      <c r="I141" s="31"/>
      <c r="J141" s="34"/>
      <c r="K141" s="31"/>
      <c r="L141" s="31"/>
      <c r="M141" s="32"/>
      <c r="N141" s="31"/>
      <c r="O141" s="33"/>
      <c r="P141" s="31"/>
      <c r="Q141" s="31"/>
      <c r="R141" s="31"/>
    </row>
    <row r="142" spans="1:18" x14ac:dyDescent="0.3">
      <c r="A142" s="33"/>
      <c r="B142" s="31"/>
      <c r="C142" s="31"/>
      <c r="D142" s="31"/>
      <c r="E142" s="31"/>
      <c r="F142" s="31"/>
      <c r="G142" s="31"/>
      <c r="H142" s="31"/>
      <c r="I142" s="31"/>
      <c r="J142" s="34"/>
      <c r="K142" s="31"/>
      <c r="L142" s="31"/>
      <c r="M142" s="32"/>
      <c r="N142" s="31"/>
      <c r="O142" s="33"/>
      <c r="P142" s="31"/>
      <c r="Q142" s="31"/>
      <c r="R142" s="31"/>
    </row>
    <row r="143" spans="1:18" x14ac:dyDescent="0.3">
      <c r="A143" s="33"/>
      <c r="B143" s="31"/>
      <c r="C143" s="31"/>
      <c r="D143" s="31"/>
      <c r="E143" s="31"/>
      <c r="F143" s="31"/>
      <c r="G143" s="31"/>
      <c r="H143" s="31"/>
      <c r="I143" s="31"/>
      <c r="J143" s="34"/>
      <c r="K143" s="31"/>
      <c r="L143" s="31"/>
      <c r="M143" s="32"/>
      <c r="N143" s="31"/>
      <c r="O143" s="33"/>
      <c r="P143" s="31"/>
      <c r="Q143" s="31"/>
      <c r="R143" s="31"/>
    </row>
    <row r="144" spans="1:18" x14ac:dyDescent="0.3">
      <c r="A144" s="33"/>
      <c r="B144" s="31"/>
      <c r="C144" s="31"/>
      <c r="D144" s="31"/>
      <c r="E144" s="31"/>
      <c r="F144" s="31"/>
      <c r="G144" s="31"/>
      <c r="H144" s="31"/>
      <c r="I144" s="31"/>
      <c r="J144" s="34"/>
      <c r="K144" s="31"/>
      <c r="L144" s="31"/>
      <c r="M144" s="32"/>
      <c r="N144" s="31"/>
      <c r="O144" s="33"/>
      <c r="P144" s="31"/>
      <c r="Q144" s="31"/>
      <c r="R144" s="31"/>
    </row>
    <row r="145" spans="1:18" x14ac:dyDescent="0.3">
      <c r="A145" s="33"/>
      <c r="B145" s="31"/>
      <c r="C145" s="31"/>
      <c r="D145" s="31"/>
      <c r="E145" s="31"/>
      <c r="F145" s="31"/>
      <c r="G145" s="31"/>
      <c r="H145" s="31"/>
      <c r="I145" s="31"/>
      <c r="J145" s="34"/>
      <c r="K145" s="31"/>
      <c r="L145" s="31"/>
      <c r="M145" s="32"/>
      <c r="N145" s="31"/>
      <c r="O145" s="33"/>
      <c r="P145" s="31"/>
      <c r="Q145" s="31"/>
      <c r="R145" s="31"/>
    </row>
    <row r="146" spans="1:18" x14ac:dyDescent="0.3">
      <c r="A146" s="33"/>
      <c r="B146" s="31"/>
      <c r="C146" s="31"/>
      <c r="D146" s="31"/>
      <c r="E146" s="31"/>
      <c r="F146" s="31"/>
      <c r="G146" s="31"/>
      <c r="H146" s="31"/>
      <c r="I146" s="31"/>
      <c r="J146" s="34"/>
      <c r="K146" s="31"/>
      <c r="L146" s="31"/>
      <c r="M146" s="32"/>
      <c r="N146" s="31"/>
      <c r="O146" s="33"/>
      <c r="P146" s="31"/>
      <c r="Q146" s="31"/>
      <c r="R146" s="31"/>
    </row>
    <row r="147" spans="1:18" x14ac:dyDescent="0.3">
      <c r="A147" s="33"/>
      <c r="B147" s="31"/>
      <c r="C147" s="31"/>
      <c r="D147" s="31"/>
      <c r="E147" s="31"/>
      <c r="F147" s="31"/>
      <c r="G147" s="31"/>
      <c r="H147" s="31"/>
      <c r="I147" s="31"/>
      <c r="J147" s="34"/>
      <c r="K147" s="31"/>
      <c r="L147" s="31"/>
      <c r="M147" s="32"/>
      <c r="N147" s="31"/>
      <c r="O147" s="33"/>
      <c r="P147" s="31"/>
      <c r="Q147" s="31"/>
      <c r="R147" s="31"/>
    </row>
    <row r="148" spans="1:18" x14ac:dyDescent="0.3">
      <c r="A148" s="33"/>
      <c r="B148" s="31"/>
      <c r="C148" s="31"/>
      <c r="D148" s="31"/>
      <c r="E148" s="31"/>
      <c r="F148" s="31"/>
      <c r="G148" s="31"/>
      <c r="H148" s="31"/>
      <c r="I148" s="31"/>
      <c r="J148" s="34"/>
      <c r="K148" s="31"/>
      <c r="L148" s="31"/>
      <c r="M148" s="32"/>
      <c r="N148" s="31"/>
      <c r="O148" s="33"/>
      <c r="P148" s="31"/>
      <c r="Q148" s="31"/>
      <c r="R148" s="31"/>
    </row>
    <row r="149" spans="1:18" x14ac:dyDescent="0.3">
      <c r="A149" s="33"/>
      <c r="B149" s="31"/>
      <c r="C149" s="31"/>
      <c r="D149" s="31"/>
      <c r="E149" s="31"/>
      <c r="F149" s="31"/>
      <c r="G149" s="31"/>
      <c r="H149" s="31"/>
      <c r="I149" s="31"/>
      <c r="J149" s="34"/>
      <c r="K149" s="31"/>
      <c r="L149" s="31"/>
      <c r="M149" s="32"/>
      <c r="N149" s="31"/>
      <c r="O149" s="33"/>
      <c r="P149" s="31"/>
      <c r="Q149" s="31"/>
      <c r="R149" s="31"/>
    </row>
    <row r="150" spans="1:18" x14ac:dyDescent="0.3">
      <c r="A150" s="33"/>
      <c r="B150" s="31"/>
      <c r="C150" s="31"/>
      <c r="D150" s="31"/>
      <c r="E150" s="31"/>
      <c r="F150" s="31"/>
      <c r="G150" s="31"/>
      <c r="H150" s="31"/>
      <c r="I150" s="31"/>
      <c r="J150" s="34"/>
      <c r="K150" s="31"/>
      <c r="L150" s="31"/>
      <c r="M150" s="32"/>
      <c r="N150" s="31"/>
      <c r="O150" s="33"/>
      <c r="P150" s="31"/>
      <c r="Q150" s="31"/>
      <c r="R150" s="31"/>
    </row>
    <row r="151" spans="1:18" x14ac:dyDescent="0.3">
      <c r="A151" s="33"/>
      <c r="B151" s="31"/>
      <c r="C151" s="31"/>
      <c r="D151" s="31"/>
      <c r="E151" s="31"/>
      <c r="F151" s="31"/>
      <c r="G151" s="31"/>
      <c r="H151" s="31"/>
      <c r="I151" s="31"/>
      <c r="J151" s="34"/>
      <c r="K151" s="31"/>
      <c r="L151" s="31"/>
      <c r="M151" s="32"/>
      <c r="N151" s="31"/>
      <c r="O151" s="33"/>
      <c r="P151" s="31"/>
      <c r="Q151" s="31"/>
      <c r="R151" s="31"/>
    </row>
    <row r="152" spans="1:18" x14ac:dyDescent="0.3">
      <c r="A152" s="33"/>
      <c r="B152" s="31"/>
      <c r="C152" s="31"/>
      <c r="D152" s="31"/>
      <c r="E152" s="31"/>
      <c r="F152" s="31"/>
      <c r="G152" s="31"/>
      <c r="H152" s="31"/>
      <c r="I152" s="31"/>
      <c r="J152" s="34"/>
      <c r="K152" s="31"/>
      <c r="L152" s="31"/>
      <c r="M152" s="32"/>
      <c r="N152" s="31"/>
      <c r="O152" s="33"/>
      <c r="P152" s="31"/>
      <c r="Q152" s="31"/>
      <c r="R152" s="31"/>
    </row>
    <row r="153" spans="1:18" x14ac:dyDescent="0.3">
      <c r="A153" s="33"/>
      <c r="B153" s="31"/>
      <c r="C153" s="31"/>
      <c r="D153" s="31"/>
      <c r="E153" s="31"/>
      <c r="F153" s="31"/>
      <c r="G153" s="31"/>
      <c r="H153" s="31"/>
      <c r="I153" s="31"/>
      <c r="J153" s="34"/>
      <c r="K153" s="31"/>
      <c r="L153" s="31"/>
      <c r="M153" s="32"/>
      <c r="N153" s="31"/>
      <c r="O153" s="33"/>
      <c r="P153" s="31"/>
      <c r="Q153" s="31"/>
      <c r="R153" s="31"/>
    </row>
    <row r="154" spans="1:18" x14ac:dyDescent="0.3">
      <c r="A154" s="33"/>
      <c r="B154" s="31"/>
      <c r="C154" s="31"/>
      <c r="D154" s="31"/>
      <c r="E154" s="31"/>
      <c r="F154" s="31"/>
      <c r="G154" s="31"/>
      <c r="H154" s="31"/>
      <c r="I154" s="31"/>
      <c r="J154" s="34"/>
      <c r="K154" s="31"/>
      <c r="L154" s="31"/>
      <c r="M154" s="32"/>
      <c r="N154" s="31"/>
      <c r="O154" s="33"/>
      <c r="P154" s="31"/>
      <c r="Q154" s="31"/>
      <c r="R154" s="31"/>
    </row>
    <row r="155" spans="1:18" x14ac:dyDescent="0.3">
      <c r="A155" s="33"/>
      <c r="B155" s="31"/>
      <c r="C155" s="31"/>
      <c r="D155" s="31"/>
      <c r="E155" s="31"/>
      <c r="F155" s="31"/>
      <c r="G155" s="31"/>
      <c r="H155" s="31"/>
      <c r="I155" s="31"/>
      <c r="J155" s="34"/>
      <c r="K155" s="31"/>
      <c r="L155" s="31"/>
      <c r="M155" s="32"/>
      <c r="N155" s="31"/>
      <c r="O155" s="33"/>
      <c r="P155" s="31"/>
      <c r="Q155" s="31"/>
      <c r="R155" s="31"/>
    </row>
    <row r="156" spans="1:18" x14ac:dyDescent="0.3">
      <c r="A156" s="33"/>
      <c r="B156" s="31"/>
      <c r="C156" s="31"/>
      <c r="D156" s="31"/>
      <c r="E156" s="31"/>
      <c r="F156" s="31"/>
      <c r="G156" s="31"/>
      <c r="H156" s="31"/>
      <c r="I156" s="31"/>
      <c r="J156" s="34"/>
      <c r="K156" s="31"/>
      <c r="L156" s="31"/>
      <c r="M156" s="32"/>
      <c r="N156" s="31"/>
      <c r="O156" s="33"/>
      <c r="P156" s="31"/>
      <c r="Q156" s="31"/>
      <c r="R156" s="31"/>
    </row>
    <row r="157" spans="1:18" x14ac:dyDescent="0.3">
      <c r="A157" s="33"/>
      <c r="B157" s="31"/>
      <c r="C157" s="31"/>
      <c r="D157" s="31"/>
      <c r="E157" s="31"/>
      <c r="F157" s="31"/>
      <c r="G157" s="31"/>
      <c r="H157" s="31"/>
      <c r="I157" s="31"/>
      <c r="J157" s="34"/>
      <c r="K157" s="31"/>
      <c r="L157" s="31"/>
      <c r="M157" s="32"/>
      <c r="N157" s="31"/>
      <c r="O157" s="33"/>
      <c r="P157" s="31"/>
      <c r="Q157" s="31"/>
      <c r="R157" s="31"/>
    </row>
    <row r="158" spans="1:18" x14ac:dyDescent="0.3">
      <c r="A158" s="33"/>
      <c r="B158" s="31"/>
      <c r="C158" s="31"/>
      <c r="D158" s="31"/>
      <c r="E158" s="31"/>
      <c r="F158" s="31"/>
      <c r="G158" s="31"/>
      <c r="H158" s="31"/>
      <c r="I158" s="31"/>
      <c r="J158" s="34"/>
      <c r="K158" s="31"/>
      <c r="L158" s="31"/>
      <c r="M158" s="32"/>
      <c r="N158" s="31"/>
      <c r="O158" s="33"/>
      <c r="P158" s="31"/>
      <c r="Q158" s="31"/>
      <c r="R158" s="31"/>
    </row>
    <row r="159" spans="1:18" x14ac:dyDescent="0.3">
      <c r="A159" s="33"/>
      <c r="B159" s="31"/>
      <c r="C159" s="31"/>
      <c r="D159" s="31"/>
      <c r="E159" s="31"/>
      <c r="F159" s="31"/>
      <c r="G159" s="31"/>
      <c r="H159" s="31"/>
      <c r="I159" s="31"/>
      <c r="J159" s="34"/>
      <c r="K159" s="31"/>
      <c r="L159" s="31"/>
      <c r="M159" s="32"/>
      <c r="N159" s="31"/>
      <c r="O159" s="33"/>
      <c r="P159" s="31"/>
      <c r="Q159" s="31"/>
      <c r="R159" s="31"/>
    </row>
    <row r="160" spans="1:18" x14ac:dyDescent="0.3">
      <c r="A160" s="33"/>
      <c r="B160" s="31"/>
      <c r="C160" s="31"/>
      <c r="D160" s="31"/>
      <c r="E160" s="31"/>
      <c r="F160" s="31"/>
      <c r="G160" s="31"/>
      <c r="H160" s="31"/>
      <c r="I160" s="31"/>
      <c r="J160" s="34"/>
      <c r="K160" s="31"/>
      <c r="L160" s="31"/>
      <c r="M160" s="32"/>
      <c r="N160" s="31"/>
      <c r="O160" s="33"/>
      <c r="P160" s="31"/>
      <c r="Q160" s="31"/>
      <c r="R160" s="31"/>
    </row>
    <row r="161" spans="1:18" x14ac:dyDescent="0.3">
      <c r="A161" s="33"/>
      <c r="B161" s="31"/>
      <c r="C161" s="31"/>
      <c r="D161" s="31"/>
      <c r="E161" s="31"/>
      <c r="F161" s="31"/>
      <c r="G161" s="31"/>
      <c r="H161" s="31"/>
      <c r="I161" s="31"/>
      <c r="J161" s="34"/>
      <c r="K161" s="31"/>
      <c r="L161" s="31"/>
      <c r="M161" s="32"/>
      <c r="N161" s="31"/>
      <c r="O161" s="33"/>
      <c r="P161" s="31"/>
      <c r="Q161" s="31"/>
      <c r="R161" s="31"/>
    </row>
    <row r="162" spans="1:18" x14ac:dyDescent="0.3">
      <c r="A162" s="33"/>
      <c r="B162" s="31"/>
      <c r="C162" s="31"/>
      <c r="D162" s="31"/>
      <c r="E162" s="31"/>
      <c r="F162" s="31"/>
      <c r="G162" s="31"/>
      <c r="H162" s="31"/>
      <c r="I162" s="31"/>
      <c r="J162" s="34"/>
      <c r="K162" s="31"/>
      <c r="L162" s="31"/>
      <c r="M162" s="32"/>
      <c r="N162" s="31"/>
      <c r="O162" s="33"/>
      <c r="P162" s="31"/>
      <c r="Q162" s="31"/>
      <c r="R162" s="31"/>
    </row>
    <row r="163" spans="1:18" x14ac:dyDescent="0.3">
      <c r="A163" s="33"/>
      <c r="B163" s="31"/>
      <c r="C163" s="31"/>
      <c r="D163" s="31"/>
      <c r="E163" s="31"/>
      <c r="F163" s="31"/>
      <c r="G163" s="31"/>
      <c r="H163" s="31"/>
      <c r="I163" s="31"/>
      <c r="J163" s="34"/>
      <c r="K163" s="31"/>
      <c r="L163" s="31"/>
      <c r="M163" s="32"/>
      <c r="N163" s="31"/>
      <c r="O163" s="33"/>
      <c r="P163" s="31"/>
      <c r="Q163" s="31"/>
      <c r="R163" s="31"/>
    </row>
    <row r="164" spans="1:18" x14ac:dyDescent="0.3">
      <c r="A164" s="33"/>
      <c r="B164" s="31"/>
      <c r="C164" s="31"/>
      <c r="D164" s="31"/>
      <c r="E164" s="31"/>
      <c r="F164" s="31"/>
      <c r="G164" s="31"/>
      <c r="H164" s="31"/>
      <c r="I164" s="31"/>
      <c r="J164" s="34"/>
      <c r="K164" s="31"/>
      <c r="L164" s="31"/>
      <c r="M164" s="32"/>
      <c r="N164" s="31"/>
      <c r="O164" s="33"/>
      <c r="P164" s="31"/>
      <c r="Q164" s="31"/>
      <c r="R164" s="31"/>
    </row>
    <row r="165" spans="1:18" x14ac:dyDescent="0.3">
      <c r="A165" s="33"/>
      <c r="B165" s="31"/>
      <c r="C165" s="31"/>
      <c r="D165" s="31"/>
      <c r="E165" s="31"/>
      <c r="F165" s="31"/>
      <c r="G165" s="31"/>
      <c r="H165" s="31"/>
      <c r="I165" s="31"/>
      <c r="J165" s="34"/>
      <c r="K165" s="31"/>
      <c r="L165" s="31"/>
      <c r="M165" s="32"/>
      <c r="N165" s="31"/>
      <c r="O165" s="33"/>
      <c r="P165" s="31"/>
      <c r="Q165" s="31"/>
      <c r="R165" s="31"/>
    </row>
    <row r="166" spans="1:18" x14ac:dyDescent="0.3">
      <c r="A166" s="33"/>
      <c r="B166" s="31"/>
      <c r="C166" s="31"/>
      <c r="D166" s="31"/>
      <c r="E166" s="31"/>
      <c r="F166" s="31"/>
      <c r="G166" s="31"/>
      <c r="H166" s="31"/>
      <c r="I166" s="31"/>
      <c r="J166" s="34"/>
      <c r="K166" s="31"/>
      <c r="L166" s="31"/>
      <c r="M166" s="32"/>
      <c r="N166" s="31"/>
      <c r="O166" s="33"/>
      <c r="P166" s="31"/>
      <c r="Q166" s="31"/>
      <c r="R166" s="31"/>
    </row>
    <row r="167" spans="1:18" x14ac:dyDescent="0.3">
      <c r="A167" s="33"/>
      <c r="B167" s="31"/>
      <c r="C167" s="31"/>
      <c r="D167" s="31"/>
      <c r="E167" s="31"/>
      <c r="F167" s="31"/>
      <c r="G167" s="31"/>
      <c r="H167" s="31"/>
      <c r="I167" s="31"/>
      <c r="J167" s="34"/>
      <c r="K167" s="31"/>
      <c r="L167" s="31"/>
      <c r="M167" s="32"/>
      <c r="N167" s="31"/>
      <c r="O167" s="33"/>
      <c r="P167" s="31"/>
      <c r="Q167" s="31"/>
      <c r="R167" s="31"/>
    </row>
    <row r="168" spans="1:18" x14ac:dyDescent="0.3">
      <c r="A168" s="33"/>
      <c r="B168" s="31"/>
      <c r="C168" s="31"/>
      <c r="D168" s="31"/>
      <c r="E168" s="31"/>
      <c r="F168" s="31"/>
      <c r="G168" s="31"/>
      <c r="H168" s="31"/>
      <c r="I168" s="31"/>
      <c r="J168" s="34"/>
      <c r="K168" s="31"/>
      <c r="L168" s="31"/>
      <c r="M168" s="32"/>
      <c r="N168" s="31"/>
      <c r="O168" s="33"/>
      <c r="P168" s="31"/>
      <c r="Q168" s="31"/>
      <c r="R168" s="31"/>
    </row>
    <row r="169" spans="1:18" x14ac:dyDescent="0.3">
      <c r="A169" s="33"/>
      <c r="B169" s="31"/>
      <c r="C169" s="31"/>
      <c r="D169" s="31"/>
      <c r="E169" s="31"/>
      <c r="F169" s="31"/>
      <c r="G169" s="31"/>
      <c r="H169" s="31"/>
      <c r="I169" s="31"/>
      <c r="J169" s="34"/>
      <c r="K169" s="31"/>
      <c r="L169" s="31"/>
      <c r="M169" s="32"/>
      <c r="N169" s="31"/>
      <c r="O169" s="33"/>
      <c r="P169" s="31"/>
      <c r="Q169" s="31"/>
      <c r="R169" s="31"/>
    </row>
    <row r="170" spans="1:18" x14ac:dyDescent="0.3">
      <c r="A170" s="33"/>
      <c r="B170" s="31"/>
      <c r="C170" s="31"/>
      <c r="D170" s="31"/>
      <c r="E170" s="31"/>
      <c r="F170" s="31"/>
      <c r="G170" s="31"/>
      <c r="H170" s="31"/>
      <c r="I170" s="31"/>
      <c r="J170" s="34"/>
      <c r="K170" s="31"/>
      <c r="L170" s="31"/>
      <c r="M170" s="32"/>
      <c r="N170" s="31"/>
      <c r="O170" s="33"/>
      <c r="P170" s="31"/>
      <c r="Q170" s="31"/>
      <c r="R170" s="31"/>
    </row>
    <row r="171" spans="1:18" x14ac:dyDescent="0.3">
      <c r="A171" s="33"/>
      <c r="B171" s="31"/>
      <c r="C171" s="31"/>
      <c r="D171" s="31"/>
      <c r="E171" s="31"/>
      <c r="F171" s="31"/>
      <c r="G171" s="31"/>
      <c r="H171" s="31"/>
      <c r="I171" s="31"/>
      <c r="J171" s="34"/>
      <c r="K171" s="31"/>
      <c r="L171" s="31"/>
      <c r="M171" s="32"/>
      <c r="N171" s="31"/>
      <c r="O171" s="33"/>
      <c r="P171" s="31"/>
      <c r="Q171" s="31"/>
      <c r="R171" s="31"/>
    </row>
    <row r="172" spans="1:18" x14ac:dyDescent="0.3">
      <c r="A172" s="33"/>
      <c r="B172" s="31"/>
      <c r="C172" s="31"/>
      <c r="D172" s="31"/>
      <c r="E172" s="31"/>
      <c r="F172" s="31"/>
      <c r="G172" s="31"/>
      <c r="H172" s="31"/>
      <c r="I172" s="31"/>
      <c r="J172" s="34"/>
      <c r="K172" s="31"/>
      <c r="L172" s="31"/>
      <c r="M172" s="32"/>
      <c r="N172" s="31"/>
      <c r="O172" s="33"/>
      <c r="P172" s="31"/>
      <c r="Q172" s="31"/>
      <c r="R172" s="31"/>
    </row>
    <row r="173" spans="1:18" x14ac:dyDescent="0.3">
      <c r="A173" s="33"/>
      <c r="B173" s="31"/>
      <c r="C173" s="31"/>
      <c r="D173" s="31"/>
      <c r="E173" s="31"/>
      <c r="F173" s="31"/>
      <c r="G173" s="31"/>
      <c r="H173" s="31"/>
      <c r="I173" s="31"/>
      <c r="J173" s="34"/>
      <c r="K173" s="31"/>
      <c r="L173" s="31"/>
      <c r="M173" s="32"/>
      <c r="N173" s="31"/>
      <c r="O173" s="33"/>
      <c r="P173" s="31"/>
      <c r="Q173" s="31"/>
      <c r="R173" s="31"/>
    </row>
    <row r="174" spans="1:18" x14ac:dyDescent="0.3">
      <c r="A174" s="33"/>
      <c r="B174" s="31"/>
      <c r="C174" s="31"/>
      <c r="D174" s="31"/>
      <c r="E174" s="31"/>
      <c r="F174" s="31"/>
      <c r="G174" s="31"/>
      <c r="H174" s="31"/>
      <c r="I174" s="31"/>
      <c r="J174" s="34"/>
      <c r="K174" s="31"/>
      <c r="L174" s="31"/>
      <c r="M174" s="32"/>
      <c r="N174" s="31"/>
      <c r="O174" s="33"/>
      <c r="P174" s="31"/>
      <c r="Q174" s="31"/>
      <c r="R174" s="31"/>
    </row>
    <row r="175" spans="1:18" x14ac:dyDescent="0.3">
      <c r="A175" s="33"/>
      <c r="B175" s="31"/>
      <c r="C175" s="31"/>
      <c r="D175" s="31"/>
      <c r="E175" s="31"/>
      <c r="F175" s="31"/>
      <c r="G175" s="31"/>
      <c r="H175" s="31"/>
      <c r="I175" s="31"/>
      <c r="J175" s="34"/>
      <c r="K175" s="31"/>
      <c r="L175" s="31"/>
      <c r="M175" s="32"/>
      <c r="N175" s="31"/>
      <c r="O175" s="33"/>
      <c r="P175" s="31"/>
      <c r="Q175" s="31"/>
      <c r="R175" s="31"/>
    </row>
    <row r="176" spans="1:18" x14ac:dyDescent="0.3">
      <c r="A176" s="33"/>
      <c r="B176" s="31"/>
      <c r="C176" s="31"/>
      <c r="D176" s="31"/>
      <c r="E176" s="31"/>
      <c r="F176" s="31"/>
      <c r="G176" s="31"/>
      <c r="H176" s="31"/>
      <c r="I176" s="31"/>
      <c r="J176" s="34"/>
      <c r="K176" s="31"/>
      <c r="L176" s="31"/>
      <c r="M176" s="32"/>
      <c r="N176" s="31"/>
      <c r="O176" s="33"/>
      <c r="P176" s="31"/>
      <c r="Q176" s="31"/>
      <c r="R176" s="31"/>
    </row>
    <row r="177" spans="1:18" x14ac:dyDescent="0.3">
      <c r="A177" s="33"/>
      <c r="B177" s="31"/>
      <c r="C177" s="31"/>
      <c r="D177" s="31"/>
      <c r="E177" s="31"/>
      <c r="F177" s="31"/>
      <c r="G177" s="31"/>
      <c r="H177" s="31"/>
      <c r="I177" s="31"/>
      <c r="J177" s="34"/>
      <c r="K177" s="31"/>
      <c r="L177" s="31"/>
      <c r="M177" s="32"/>
      <c r="N177" s="31"/>
      <c r="O177" s="33"/>
      <c r="P177" s="31"/>
      <c r="Q177" s="31"/>
      <c r="R177" s="31"/>
    </row>
    <row r="178" spans="1:18" x14ac:dyDescent="0.3">
      <c r="A178" s="33"/>
      <c r="B178" s="31"/>
      <c r="C178" s="31"/>
      <c r="D178" s="31"/>
      <c r="E178" s="31"/>
      <c r="F178" s="31"/>
      <c r="G178" s="31"/>
      <c r="H178" s="31"/>
      <c r="I178" s="31"/>
      <c r="J178" s="34"/>
      <c r="K178" s="31"/>
      <c r="L178" s="31"/>
      <c r="M178" s="32"/>
      <c r="N178" s="31"/>
      <c r="O178" s="33"/>
      <c r="P178" s="31"/>
      <c r="Q178" s="31"/>
      <c r="R178" s="31"/>
    </row>
    <row r="179" spans="1:18" x14ac:dyDescent="0.3">
      <c r="A179" s="33"/>
      <c r="B179" s="31"/>
      <c r="C179" s="31"/>
      <c r="D179" s="31"/>
      <c r="E179" s="31"/>
      <c r="F179" s="31"/>
      <c r="G179" s="31"/>
      <c r="H179" s="31"/>
      <c r="I179" s="31"/>
      <c r="J179" s="34"/>
      <c r="K179" s="31"/>
      <c r="L179" s="31"/>
      <c r="M179" s="32"/>
      <c r="N179" s="31"/>
      <c r="O179" s="33"/>
      <c r="P179" s="31"/>
      <c r="Q179" s="31"/>
      <c r="R179" s="31"/>
    </row>
    <row r="180" spans="1:18" x14ac:dyDescent="0.3">
      <c r="A180" s="33"/>
      <c r="B180" s="31"/>
      <c r="C180" s="31"/>
      <c r="D180" s="31"/>
      <c r="E180" s="31"/>
      <c r="F180" s="31"/>
      <c r="G180" s="31"/>
      <c r="H180" s="31"/>
      <c r="I180" s="31"/>
      <c r="J180" s="34"/>
      <c r="K180" s="31"/>
      <c r="L180" s="31"/>
      <c r="M180" s="32"/>
      <c r="N180" s="31"/>
      <c r="O180" s="33"/>
      <c r="P180" s="31"/>
      <c r="Q180" s="31"/>
      <c r="R180" s="31"/>
    </row>
    <row r="181" spans="1:18" x14ac:dyDescent="0.3">
      <c r="A181" s="33"/>
      <c r="B181" s="31"/>
      <c r="C181" s="31"/>
      <c r="D181" s="31"/>
      <c r="E181" s="31"/>
      <c r="F181" s="31"/>
      <c r="G181" s="31"/>
      <c r="H181" s="31"/>
      <c r="I181" s="31"/>
      <c r="J181" s="34"/>
      <c r="K181" s="31"/>
      <c r="L181" s="31"/>
      <c r="M181" s="32"/>
      <c r="N181" s="31"/>
      <c r="O181" s="33"/>
      <c r="P181" s="31"/>
      <c r="Q181" s="31"/>
      <c r="R181" s="31"/>
    </row>
    <row r="182" spans="1:18" x14ac:dyDescent="0.3">
      <c r="A182" s="33"/>
      <c r="B182" s="31"/>
      <c r="C182" s="31"/>
      <c r="D182" s="31"/>
      <c r="E182" s="31"/>
      <c r="F182" s="31"/>
      <c r="G182" s="31"/>
      <c r="H182" s="31"/>
      <c r="I182" s="31"/>
      <c r="J182" s="34"/>
      <c r="K182" s="31"/>
      <c r="L182" s="31"/>
      <c r="M182" s="32"/>
      <c r="N182" s="31"/>
      <c r="O182" s="33"/>
      <c r="P182" s="31"/>
      <c r="Q182" s="31"/>
      <c r="R182" s="31"/>
    </row>
    <row r="183" spans="1:18" x14ac:dyDescent="0.3">
      <c r="A183" s="35"/>
      <c r="B183" s="36"/>
      <c r="C183" s="36"/>
      <c r="D183" s="36"/>
      <c r="E183" s="36"/>
      <c r="F183" s="36"/>
      <c r="G183" s="36"/>
      <c r="H183" s="36"/>
      <c r="I183" s="36"/>
      <c r="J183" s="37"/>
      <c r="K183" s="31"/>
      <c r="L183" s="31"/>
      <c r="M183" s="32"/>
      <c r="N183" s="31"/>
      <c r="O183" s="35"/>
      <c r="P183" s="36"/>
      <c r="Q183" s="36"/>
      <c r="R183" s="36"/>
    </row>
  </sheetData>
  <mergeCells count="2">
    <mergeCell ref="A1:M1"/>
    <mergeCell ref="O1:R1"/>
  </mergeCells>
  <conditionalFormatting sqref="I22:I57">
    <cfRule type="expression" dxfId="8" priority="1">
      <formula>"I$26=""Training"""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8DE6-B3B9-45DE-BBE8-FA896BDAB3CD}">
  <sheetPr codeName="Hoja9"/>
  <dimension ref="A1:AA183"/>
  <sheetViews>
    <sheetView zoomScaleNormal="10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0.8867187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4" style="3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1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1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1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_xlfn.MAXIFS(Estimates_T2[Error],Estimates_T2[T / V],"Training")</f>
        <v>17.792626945269507</v>
      </c>
      <c r="R4" s="2"/>
      <c r="T4"/>
    </row>
    <row r="5" spans="1:21" x14ac:dyDescent="0.3">
      <c r="B5" s="11" t="s">
        <v>21</v>
      </c>
      <c r="C5" s="10">
        <v>0.7</v>
      </c>
      <c r="D5" s="10">
        <f>Training*D7</f>
        <v>25.2</v>
      </c>
      <c r="J5"/>
      <c r="K5"/>
      <c r="L5"/>
      <c r="M5" s="9"/>
      <c r="N5"/>
      <c r="O5" s="39"/>
      <c r="P5" s="2" t="s">
        <v>29</v>
      </c>
      <c r="Q5" s="3">
        <f ca="1">_xlfn.MINIFS(Estimates_T2[Error],Estimates_T2[T / V],"Training")</f>
        <v>0.57625027439347232</v>
      </c>
      <c r="R5" s="2"/>
      <c r="T5"/>
    </row>
    <row r="6" spans="1:21" x14ac:dyDescent="0.3">
      <c r="B6" s="12" t="s">
        <v>22</v>
      </c>
      <c r="C6" s="3">
        <f>1-C5</f>
        <v>0.30000000000000004</v>
      </c>
      <c r="D6" s="3">
        <f>Validation*D7</f>
        <v>10.8</v>
      </c>
      <c r="J6"/>
      <c r="K6"/>
      <c r="L6"/>
      <c r="M6" s="9"/>
      <c r="N6"/>
      <c r="O6" s="39"/>
      <c r="P6" s="2" t="s">
        <v>30</v>
      </c>
      <c r="Q6" s="3">
        <f ca="1">AVERAGEIFS(Estimates_T2[Error],Estimates_T2[T / V],"Training")</f>
        <v>5.0933177792270348</v>
      </c>
      <c r="R6" s="2"/>
      <c r="T6"/>
    </row>
    <row r="7" spans="1:21" x14ac:dyDescent="0.3">
      <c r="B7" s="13" t="s">
        <v>23</v>
      </c>
      <c r="C7" s="7">
        <v>1</v>
      </c>
      <c r="D7" s="7">
        <f>COUNT(Data_T2[L])</f>
        <v>36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_xlfn.MAXIFS(Estimates_T2[Error],Estimates_T2[T / V],"Validation")</f>
        <v>15.627221203702387</v>
      </c>
      <c r="R7" s="2"/>
      <c r="T7"/>
    </row>
    <row r="8" spans="1:21" x14ac:dyDescent="0.3">
      <c r="J8"/>
      <c r="K8"/>
      <c r="L8"/>
      <c r="M8" s="9"/>
      <c r="N8"/>
      <c r="O8" s="39"/>
      <c r="P8" s="2" t="s">
        <v>29</v>
      </c>
      <c r="Q8" s="3">
        <f ca="1">_xlfn.MINIFS(Estimates_T2[Error],Estimates_T2[T / V],"Validation")</f>
        <v>0.2964870393179162</v>
      </c>
      <c r="R8" s="2"/>
      <c r="T8"/>
    </row>
    <row r="9" spans="1:21" x14ac:dyDescent="0.3">
      <c r="J9"/>
      <c r="K9"/>
      <c r="L9"/>
      <c r="M9" s="9"/>
      <c r="N9"/>
      <c r="O9" s="38"/>
      <c r="P9" s="4" t="s">
        <v>30</v>
      </c>
      <c r="Q9" s="7">
        <f ca="1">AVERAGEIFS(Estimates_T2[Error],Estimates_T2[T / V],"Validation")</f>
        <v>6.298666814431332</v>
      </c>
      <c r="R9" s="2"/>
      <c r="T9"/>
    </row>
    <row r="10" spans="1:21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1" x14ac:dyDescent="0.3">
      <c r="B11" s="11" t="s">
        <v>15</v>
      </c>
      <c r="C11" s="3">
        <f ca="1">SUMPRODUCT(F61:F120,G61:G120)/SUMSQ(F61:F120)</f>
        <v>20.018174271020044</v>
      </c>
      <c r="G11"/>
      <c r="H11" s="2"/>
      <c r="I11"/>
      <c r="J11"/>
      <c r="K11"/>
      <c r="L11"/>
      <c r="M11" s="9"/>
      <c r="N11"/>
      <c r="O11" s="39"/>
      <c r="P11" s="2"/>
      <c r="R11" s="2"/>
      <c r="T11"/>
    </row>
    <row r="12" spans="1:21" x14ac:dyDescent="0.3">
      <c r="B12" s="12" t="s">
        <v>14</v>
      </c>
      <c r="C12" s="3">
        <v>0</v>
      </c>
      <c r="N12" s="15"/>
      <c r="O12" s="2"/>
      <c r="P12" s="2"/>
      <c r="R12" s="2"/>
      <c r="T12"/>
    </row>
    <row r="13" spans="1:21" ht="16.2" x14ac:dyDescent="0.3">
      <c r="B13" s="13" t="s">
        <v>31</v>
      </c>
      <c r="C13" s="7">
        <f ca="1">1-SUMSQ(K61:K120)/SUMSQ(L61:L120)</f>
        <v>0.93265646998128604</v>
      </c>
      <c r="N13" s="5"/>
      <c r="R13" s="15"/>
      <c r="T13"/>
    </row>
    <row r="14" spans="1:21" x14ac:dyDescent="0.3">
      <c r="N14" s="5"/>
      <c r="O14" s="5"/>
      <c r="P14" s="5"/>
      <c r="Q14" s="5"/>
      <c r="R14" s="5"/>
      <c r="S14" s="5"/>
      <c r="T14"/>
    </row>
    <row r="15" spans="1:21" x14ac:dyDescent="0.3">
      <c r="B15" s="51" t="s">
        <v>39</v>
      </c>
      <c r="N15" s="40"/>
      <c r="O15" s="16" t="s">
        <v>17</v>
      </c>
      <c r="P15" s="16" t="s">
        <v>18</v>
      </c>
      <c r="Q15" s="17">
        <v>-0.1</v>
      </c>
      <c r="R15" s="17">
        <v>-0.2</v>
      </c>
      <c r="S15" s="17">
        <v>0.1</v>
      </c>
      <c r="T15" s="17">
        <v>0.2</v>
      </c>
      <c r="U15" s="15"/>
    </row>
    <row r="16" spans="1:21" ht="15.6" x14ac:dyDescent="0.35">
      <c r="B16" s="14" t="s">
        <v>40</v>
      </c>
      <c r="C16" s="14" t="s">
        <v>41</v>
      </c>
      <c r="N16" s="40"/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5"/>
    </row>
    <row r="17" spans="1:27" x14ac:dyDescent="0.3">
      <c r="B17" s="10">
        <v>6.5</v>
      </c>
      <c r="C17" s="10">
        <f ca="1">B17*C11</f>
        <v>130.11813276163028</v>
      </c>
      <c r="N17" s="40"/>
      <c r="O17" s="16">
        <v>1000</v>
      </c>
      <c r="P17" s="16">
        <f>O17</f>
        <v>1000</v>
      </c>
      <c r="Q17" s="16">
        <f>0.9*O17</f>
        <v>900</v>
      </c>
      <c r="R17" s="16">
        <f>0.8*O17</f>
        <v>800</v>
      </c>
      <c r="S17" s="16">
        <f>1.1*O17</f>
        <v>1100</v>
      </c>
      <c r="T17" s="16">
        <f>1.2*O17</f>
        <v>1200</v>
      </c>
      <c r="U17" s="15"/>
    </row>
    <row r="18" spans="1:27" x14ac:dyDescent="0.3">
      <c r="B18" s="7">
        <v>17.899999999999999</v>
      </c>
      <c r="C18" s="7">
        <f ca="1">B18*C11</f>
        <v>358.32531945125874</v>
      </c>
      <c r="N18" s="40"/>
      <c r="O18" s="15"/>
      <c r="P18" s="15"/>
      <c r="Q18" s="15"/>
      <c r="R18" s="15"/>
      <c r="S18" s="15"/>
      <c r="T18" s="15"/>
      <c r="U18" s="15"/>
    </row>
    <row r="19" spans="1:27" x14ac:dyDescent="0.3">
      <c r="N19" s="40"/>
      <c r="O19" s="5"/>
      <c r="P19" s="5"/>
      <c r="Q19" s="5"/>
      <c r="R19" s="5"/>
      <c r="S19" s="5"/>
      <c r="T19" s="5"/>
      <c r="U19" s="5"/>
    </row>
    <row r="20" spans="1:27" x14ac:dyDescent="0.3">
      <c r="N20" s="40"/>
      <c r="O20" s="5"/>
      <c r="P20" s="5"/>
      <c r="Q20" s="5"/>
      <c r="R20" s="5"/>
      <c r="S20" s="5"/>
      <c r="T20" s="5"/>
      <c r="U20" s="41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12</v>
      </c>
      <c r="B22" s="3">
        <v>170</v>
      </c>
      <c r="C22" s="3" t="s">
        <v>9</v>
      </c>
      <c r="D22" s="3">
        <v>1</v>
      </c>
      <c r="E22" s="3">
        <v>2</v>
      </c>
      <c r="F22" s="3">
        <v>17.790648849835058</v>
      </c>
      <c r="G22" s="3">
        <v>369.31674307917132</v>
      </c>
      <c r="H22" s="3">
        <v>20.759037300800603</v>
      </c>
      <c r="I22" s="3" t="str">
        <f>IF(ROWS($I$22:I22)&lt;=n_T,"Training","Validation")</f>
        <v>Training</v>
      </c>
      <c r="J22" s="3">
        <f t="shared" ref="J22:J57" ca="1" si="0">RAND()</f>
        <v>0.70271628817402176</v>
      </c>
      <c r="O22" s="3">
        <f>Data_T2[[#This Row],[A_q]]</f>
        <v>369.31674307917132</v>
      </c>
      <c r="P22" s="3">
        <f ca="1">Data_T2[[#This Row],[A_T]]*$C$11</f>
        <v>356.1363090705205</v>
      </c>
      <c r="Q22" s="3" t="str">
        <f>Data_T2[[#This Row],[T / V]]</f>
        <v>Training</v>
      </c>
      <c r="R22" s="3">
        <f ca="1">ABS((Estimates_T2[[#This Row],[A_q predicted (b=0)]]-Estimates_T2[[#This Row],[A_q measured]])/Estimates_T2[[#This Row],[A_q measured]])*100</f>
        <v>3.5688698808397374</v>
      </c>
      <c r="V22" s="2"/>
    </row>
    <row r="23" spans="1:27" x14ac:dyDescent="0.3">
      <c r="A23" s="3" t="s">
        <v>11</v>
      </c>
      <c r="B23" s="3">
        <v>170</v>
      </c>
      <c r="C23" s="3" t="s">
        <v>9</v>
      </c>
      <c r="D23" s="3">
        <v>0.5</v>
      </c>
      <c r="E23" s="3">
        <v>3</v>
      </c>
      <c r="F23" s="3">
        <v>14.158822452174912</v>
      </c>
      <c r="G23" s="3">
        <v>270.25498746086953</v>
      </c>
      <c r="H23" s="3">
        <v>19.087391509691273</v>
      </c>
      <c r="I23" s="3" t="str">
        <f>IF(ROWS($I$22:I23)&lt;=n_T,"Training","Validation")</f>
        <v>Training</v>
      </c>
      <c r="J23" s="3">
        <f t="shared" ca="1" si="0"/>
        <v>0.69419675495198929</v>
      </c>
      <c r="O23" s="3">
        <f>Data_T2[[#This Row],[A_q]]</f>
        <v>270.25498746086953</v>
      </c>
      <c r="P23" s="3">
        <f ca="1">Data_T2[[#This Row],[A_T]]*$C$11</f>
        <v>283.43377532006872</v>
      </c>
      <c r="Q23" s="3" t="str">
        <f>Data_T2[[#This Row],[T / V]]</f>
        <v>Training</v>
      </c>
      <c r="R23" s="3">
        <f ca="1">ABS((Estimates_T2[[#This Row],[A_q predicted (b=0)]]-Estimates_T2[[#This Row],[A_q measured]])/Estimates_T2[[#This Row],[A_q measured]])*100</f>
        <v>4.8764272522842367</v>
      </c>
    </row>
    <row r="24" spans="1:27" x14ac:dyDescent="0.3">
      <c r="A24" s="3" t="s">
        <v>8</v>
      </c>
      <c r="B24" s="3">
        <v>170</v>
      </c>
      <c r="C24" s="3" t="s">
        <v>10</v>
      </c>
      <c r="D24" s="3">
        <v>0.5</v>
      </c>
      <c r="E24" s="3">
        <v>1</v>
      </c>
      <c r="F24" s="3">
        <v>8.0972999999946342</v>
      </c>
      <c r="G24" s="3">
        <v>166.90619999999905</v>
      </c>
      <c r="H24" s="3">
        <v>20.612574561904541</v>
      </c>
      <c r="I24" s="3" t="str">
        <f>IF(ROWS($I$22:I24)&lt;=n_T,"Training","Validation")</f>
        <v>Training</v>
      </c>
      <c r="J24" s="3">
        <f t="shared" ca="1" si="0"/>
        <v>0.17694050045044751</v>
      </c>
      <c r="O24" s="3">
        <f>Data_T2[[#This Row],[A_q]]</f>
        <v>166.90619999999905</v>
      </c>
      <c r="P24" s="3">
        <f ca="1">Data_T2[[#This Row],[A_T]]*$C$11</f>
        <v>162.09316252462318</v>
      </c>
      <c r="Q24" s="3" t="str">
        <f>Data_T2[[#This Row],[T / V]]</f>
        <v>Training</v>
      </c>
      <c r="R24" s="3">
        <f ca="1">ABS((Estimates_T2[[#This Row],[A_q predicted (b=0)]]-Estimates_T2[[#This Row],[A_q measured]])/Estimates_T2[[#This Row],[A_q measured]])*100</f>
        <v>2.8836780631132286</v>
      </c>
    </row>
    <row r="25" spans="1:27" x14ac:dyDescent="0.3">
      <c r="A25" s="3" t="s">
        <v>8</v>
      </c>
      <c r="B25" s="3">
        <v>170</v>
      </c>
      <c r="C25" s="3" t="s">
        <v>10</v>
      </c>
      <c r="D25" s="3">
        <v>1</v>
      </c>
      <c r="E25" s="3">
        <v>3</v>
      </c>
      <c r="F25" s="3">
        <v>7.872829771852226</v>
      </c>
      <c r="G25" s="3">
        <v>156.15565369073173</v>
      </c>
      <c r="H25" s="3">
        <v>19.834755509262493</v>
      </c>
      <c r="I25" s="3" t="str">
        <f>IF(ROWS($I$22:I25)&lt;=n_T,"Training","Validation")</f>
        <v>Training</v>
      </c>
      <c r="J25" s="3">
        <f t="shared" ca="1" si="0"/>
        <v>0.52911730616487151</v>
      </c>
      <c r="O25" s="3">
        <f>Data_T2[[#This Row],[A_q]]</f>
        <v>156.15565369073173</v>
      </c>
      <c r="P25" s="3">
        <f ca="1">Data_T2[[#This Row],[A_T]]*$C$11</f>
        <v>157.59967837901283</v>
      </c>
      <c r="Q25" s="3" t="str">
        <f>Data_T2[[#This Row],[T / V]]</f>
        <v>Training</v>
      </c>
      <c r="R25" s="3">
        <f ca="1">ABS((Estimates_T2[[#This Row],[A_q predicted (b=0)]]-Estimates_T2[[#This Row],[A_q measured]])/Estimates_T2[[#This Row],[A_q measured]])*100</f>
        <v>0.92473417013835013</v>
      </c>
    </row>
    <row r="26" spans="1:27" x14ac:dyDescent="0.3">
      <c r="A26" s="3" t="s">
        <v>12</v>
      </c>
      <c r="B26" s="3">
        <v>170</v>
      </c>
      <c r="C26" s="3" t="s">
        <v>10</v>
      </c>
      <c r="D26" s="3">
        <v>0.5</v>
      </c>
      <c r="E26" s="3">
        <v>2</v>
      </c>
      <c r="F26" s="3">
        <v>11.275199999993378</v>
      </c>
      <c r="G26" s="3">
        <v>242.68199999999433</v>
      </c>
      <c r="H26" s="3">
        <v>21.523520647096007</v>
      </c>
      <c r="I26" s="3" t="str">
        <f>IF(ROWS($I$22:I26)&lt;=n_T,"Training","Validation")</f>
        <v>Training</v>
      </c>
      <c r="J26" s="3">
        <f t="shared" ca="1" si="0"/>
        <v>0.13010605718661872</v>
      </c>
      <c r="O26" s="3">
        <f>Data_T2[[#This Row],[A_q]]</f>
        <v>242.68199999999433</v>
      </c>
      <c r="P26" s="3">
        <f ca="1">Data_T2[[#This Row],[A_T]]*$C$11</f>
        <v>225.70891854047264</v>
      </c>
      <c r="Q26" s="3" t="str">
        <f>Data_T2[[#This Row],[T / V]]</f>
        <v>Training</v>
      </c>
      <c r="R26" s="3">
        <f ca="1">ABS((Estimates_T2[[#This Row],[A_q predicted (b=0)]]-Estimates_T2[[#This Row],[A_q measured]])/Estimates_T2[[#This Row],[A_q measured]])*100</f>
        <v>6.9939597743228141</v>
      </c>
    </row>
    <row r="27" spans="1:27" x14ac:dyDescent="0.3">
      <c r="A27" s="3" t="s">
        <v>8</v>
      </c>
      <c r="B27" s="3">
        <v>170</v>
      </c>
      <c r="C27" s="3" t="s">
        <v>10</v>
      </c>
      <c r="D27" s="3">
        <v>1</v>
      </c>
      <c r="E27" s="3">
        <v>2</v>
      </c>
      <c r="F27" s="3">
        <v>9.3620263278695397</v>
      </c>
      <c r="G27" s="3">
        <v>159.24805774971134</v>
      </c>
      <c r="H27" s="3">
        <v>17.009998922525028</v>
      </c>
      <c r="I27" s="3" t="str">
        <f>IF(ROWS($I$22:I27)&lt;=n_T,"Training","Validation")</f>
        <v>Training</v>
      </c>
      <c r="J27" s="3">
        <f t="shared" ca="1" si="0"/>
        <v>0.41689094230060042</v>
      </c>
      <c r="O27" s="3">
        <f>Data_T2[[#This Row],[A_q]]</f>
        <v>159.24805774971134</v>
      </c>
      <c r="P27" s="3">
        <f ca="1">Data_T2[[#This Row],[A_T]]*$C$11</f>
        <v>187.41067456117028</v>
      </c>
      <c r="Q27" s="3" t="str">
        <f>Data_T2[[#This Row],[T / V]]</f>
        <v>Training</v>
      </c>
      <c r="R27" s="3">
        <f ca="1">ABS((Estimates_T2[[#This Row],[A_q predicted (b=0)]]-Estimates_T2[[#This Row],[A_q measured]])/Estimates_T2[[#This Row],[A_q measured]])*100</f>
        <v>17.684747437059396</v>
      </c>
    </row>
    <row r="28" spans="1:27" x14ac:dyDescent="0.3">
      <c r="A28" s="3" t="s">
        <v>11</v>
      </c>
      <c r="B28" s="3">
        <v>170</v>
      </c>
      <c r="C28" s="3" t="s">
        <v>10</v>
      </c>
      <c r="D28" s="3">
        <v>1</v>
      </c>
      <c r="E28" s="3">
        <v>2</v>
      </c>
      <c r="F28" s="3">
        <v>11.370389065312704</v>
      </c>
      <c r="G28" s="3">
        <v>218.07088535308668</v>
      </c>
      <c r="H28" s="3">
        <v>19.178841119724638</v>
      </c>
      <c r="I28" s="3" t="str">
        <f>IF(ROWS($I$22:I28)&lt;=n_T,"Training","Validation")</f>
        <v>Training</v>
      </c>
      <c r="J28" s="3">
        <f t="shared" ca="1" si="0"/>
        <v>0.92566077694653315</v>
      </c>
      <c r="O28" s="3">
        <f>Data_T2[[#This Row],[A_q]]</f>
        <v>218.07088535308668</v>
      </c>
      <c r="P28" s="3">
        <f ca="1">Data_T2[[#This Row],[A_T]]*$C$11</f>
        <v>227.61442983873042</v>
      </c>
      <c r="Q28" s="3" t="str">
        <f>Data_T2[[#This Row],[T / V]]</f>
        <v>Training</v>
      </c>
      <c r="R28" s="3">
        <f ca="1">ABS((Estimates_T2[[#This Row],[A_q predicted (b=0)]]-Estimates_T2[[#This Row],[A_q measured]])/Estimates_T2[[#This Row],[A_q measured]])*100</f>
        <v>4.3763496764785579</v>
      </c>
    </row>
    <row r="29" spans="1:27" x14ac:dyDescent="0.3">
      <c r="A29" s="3" t="s">
        <v>12</v>
      </c>
      <c r="B29" s="3">
        <v>170</v>
      </c>
      <c r="C29" s="3" t="s">
        <v>9</v>
      </c>
      <c r="D29" s="3">
        <v>0.5</v>
      </c>
      <c r="E29" s="3">
        <v>3</v>
      </c>
      <c r="F29" s="3">
        <v>15.972408843058197</v>
      </c>
      <c r="G29" s="3">
        <v>309.82490270263128</v>
      </c>
      <c r="H29" s="3">
        <v>19.397506396618752</v>
      </c>
      <c r="I29" s="3" t="str">
        <f>IF(ROWS($I$22:I29)&lt;=n_T,"Training","Validation")</f>
        <v>Training</v>
      </c>
      <c r="J29" s="3">
        <f t="shared" ca="1" si="0"/>
        <v>0.96075598852034361</v>
      </c>
      <c r="O29" s="3">
        <f>Data_T2[[#This Row],[A_q]]</f>
        <v>309.82490270263128</v>
      </c>
      <c r="P29" s="3">
        <f ca="1">Data_T2[[#This Row],[A_T]]*$C$11</f>
        <v>319.73846374832061</v>
      </c>
      <c r="Q29" s="3" t="str">
        <f>Data_T2[[#This Row],[T / V]]</f>
        <v>Training</v>
      </c>
      <c r="R29" s="3">
        <f ca="1">ABS((Estimates_T2[[#This Row],[A_q predicted (b=0)]]-Estimates_T2[[#This Row],[A_q measured]])/Estimates_T2[[#This Row],[A_q measured]])*100</f>
        <v>3.1997302215581849</v>
      </c>
    </row>
    <row r="30" spans="1:27" x14ac:dyDescent="0.3">
      <c r="A30" s="3" t="s">
        <v>8</v>
      </c>
      <c r="B30" s="3">
        <v>170</v>
      </c>
      <c r="C30" s="3" t="s">
        <v>10</v>
      </c>
      <c r="D30" s="3">
        <v>0.5</v>
      </c>
      <c r="E30" s="3">
        <v>3</v>
      </c>
      <c r="F30" s="3">
        <v>6.6891725519443357</v>
      </c>
      <c r="G30" s="3">
        <v>134.90327528622092</v>
      </c>
      <c r="H30" s="3">
        <v>20.167408485674166</v>
      </c>
      <c r="I30" s="3" t="str">
        <f>IF(ROWS($I$22:I30)&lt;=n_T,"Training","Validation")</f>
        <v>Training</v>
      </c>
      <c r="J30" s="3">
        <f t="shared" ca="1" si="0"/>
        <v>0.33897080342293495</v>
      </c>
      <c r="O30" s="3">
        <f>Data_T2[[#This Row],[A_q]]</f>
        <v>134.90327528622092</v>
      </c>
      <c r="P30" s="3">
        <f ca="1">Data_T2[[#This Row],[A_T]]*$C$11</f>
        <v>133.9050218737456</v>
      </c>
      <c r="Q30" s="3" t="str">
        <f>Data_T2[[#This Row],[T / V]]</f>
        <v>Training</v>
      </c>
      <c r="R30" s="3">
        <f ca="1">ABS((Estimates_T2[[#This Row],[A_q predicted (b=0)]]-Estimates_T2[[#This Row],[A_q measured]])/Estimates_T2[[#This Row],[A_q measured]])*100</f>
        <v>0.73997715056017144</v>
      </c>
    </row>
    <row r="31" spans="1:27" x14ac:dyDescent="0.3">
      <c r="A31" s="3" t="s">
        <v>11</v>
      </c>
      <c r="B31" s="3">
        <v>170</v>
      </c>
      <c r="C31" s="3" t="s">
        <v>10</v>
      </c>
      <c r="D31" s="3">
        <v>1</v>
      </c>
      <c r="E31" s="3">
        <v>3</v>
      </c>
      <c r="F31" s="3">
        <v>11.550733538461678</v>
      </c>
      <c r="G31" s="3">
        <v>217.63550879854768</v>
      </c>
      <c r="H31" s="3">
        <v>18.84170456134791</v>
      </c>
      <c r="I31" s="3" t="str">
        <f>IF(ROWS($I$22:I31)&lt;=n_T,"Training","Validation")</f>
        <v>Training</v>
      </c>
      <c r="J31" s="3">
        <f t="shared" ca="1" si="0"/>
        <v>0.70785321287338765</v>
      </c>
      <c r="O31" s="3">
        <f>Data_T2[[#This Row],[A_q]]</f>
        <v>217.63550879854768</v>
      </c>
      <c r="P31" s="3">
        <f ca="1">Data_T2[[#This Row],[A_T]]*$C$11</f>
        <v>231.22459693104187</v>
      </c>
      <c r="Q31" s="3" t="str">
        <f>Data_T2[[#This Row],[T / V]]</f>
        <v>Training</v>
      </c>
      <c r="R31" s="3">
        <f ca="1">ABS((Estimates_T2[[#This Row],[A_q predicted (b=0)]]-Estimates_T2[[#This Row],[A_q measured]])/Estimates_T2[[#This Row],[A_q measured]])*100</f>
        <v>6.2439664407304107</v>
      </c>
    </row>
    <row r="32" spans="1:27" x14ac:dyDescent="0.3">
      <c r="A32" s="3" t="s">
        <v>11</v>
      </c>
      <c r="B32" s="3">
        <v>170</v>
      </c>
      <c r="C32" s="3" t="s">
        <v>9</v>
      </c>
      <c r="D32" s="3">
        <v>1</v>
      </c>
      <c r="E32" s="3">
        <v>2</v>
      </c>
      <c r="F32" s="3">
        <v>12.414593957682301</v>
      </c>
      <c r="G32" s="3">
        <v>251.89549266775174</v>
      </c>
      <c r="H32" s="3">
        <v>20.290272362220573</v>
      </c>
      <c r="I32" s="3" t="str">
        <f>IF(ROWS($I$22:I32)&lt;=n_T,"Training","Validation")</f>
        <v>Training</v>
      </c>
      <c r="J32" s="3">
        <f t="shared" ca="1" si="0"/>
        <v>0.4078927939250645</v>
      </c>
      <c r="O32" s="3">
        <f>Data_T2[[#This Row],[A_q]]</f>
        <v>251.89549266775174</v>
      </c>
      <c r="P32" s="3">
        <f ca="1">Data_T2[[#This Row],[A_T]]*$C$11</f>
        <v>248.51750534883675</v>
      </c>
      <c r="Q32" s="3" t="str">
        <f>Data_T2[[#This Row],[T / V]]</f>
        <v>Training</v>
      </c>
      <c r="R32" s="3">
        <f ca="1">ABS((Estimates_T2[[#This Row],[A_q predicted (b=0)]]-Estimates_T2[[#This Row],[A_q measured]])/Estimates_T2[[#This Row],[A_q measured]])*100</f>
        <v>1.3410272979241153</v>
      </c>
    </row>
    <row r="33" spans="1:18" x14ac:dyDescent="0.3">
      <c r="A33" s="3" t="s">
        <v>12</v>
      </c>
      <c r="B33" s="3">
        <v>170</v>
      </c>
      <c r="C33" s="3" t="s">
        <v>10</v>
      </c>
      <c r="D33" s="3">
        <v>1</v>
      </c>
      <c r="E33" s="3">
        <v>2</v>
      </c>
      <c r="F33" s="3">
        <v>11.275199999993378</v>
      </c>
      <c r="G33" s="3">
        <v>242.68199999999433</v>
      </c>
      <c r="H33" s="3">
        <v>21.523520647096007</v>
      </c>
      <c r="I33" s="3" t="str">
        <f>IF(ROWS($I$22:I33)&lt;=n_T,"Training","Validation")</f>
        <v>Training</v>
      </c>
      <c r="J33" s="3">
        <f t="shared" ca="1" si="0"/>
        <v>0.83099021185626987</v>
      </c>
      <c r="O33" s="3">
        <f>Data_T2[[#This Row],[A_q]]</f>
        <v>242.68199999999433</v>
      </c>
      <c r="P33" s="3">
        <f ca="1">Data_T2[[#This Row],[A_T]]*$C$11</f>
        <v>225.70891854047264</v>
      </c>
      <c r="Q33" s="3" t="str">
        <f>Data_T2[[#This Row],[T / V]]</f>
        <v>Training</v>
      </c>
      <c r="R33" s="3">
        <f ca="1">ABS((Estimates_T2[[#This Row],[A_q predicted (b=0)]]-Estimates_T2[[#This Row],[A_q measured]])/Estimates_T2[[#This Row],[A_q measured]])*100</f>
        <v>6.9939597743228141</v>
      </c>
    </row>
    <row r="34" spans="1:18" x14ac:dyDescent="0.3">
      <c r="A34" s="3" t="s">
        <v>8</v>
      </c>
      <c r="B34" s="3">
        <v>170</v>
      </c>
      <c r="C34" s="3" t="s">
        <v>9</v>
      </c>
      <c r="D34" s="3">
        <v>1</v>
      </c>
      <c r="E34" s="3">
        <v>1</v>
      </c>
      <c r="F34" s="3">
        <v>6.9743999999999957</v>
      </c>
      <c r="G34" s="3">
        <v>169.83240000000001</v>
      </c>
      <c r="H34" s="3">
        <v>24.350825877494856</v>
      </c>
      <c r="I34" s="3" t="str">
        <f>IF(ROWS($I$22:I34)&lt;=n_T,"Training","Validation")</f>
        <v>Training</v>
      </c>
      <c r="J34" s="3">
        <f t="shared" ca="1" si="0"/>
        <v>0.63132939044656056</v>
      </c>
      <c r="O34" s="3">
        <f>Data_T2[[#This Row],[A_q]]</f>
        <v>169.83240000000001</v>
      </c>
      <c r="P34" s="3">
        <f ca="1">Data_T2[[#This Row],[A_T]]*$C$11</f>
        <v>139.61475463580211</v>
      </c>
      <c r="Q34" s="3" t="str">
        <f>Data_T2[[#This Row],[T / V]]</f>
        <v>Training</v>
      </c>
      <c r="R34" s="3">
        <f ca="1">ABS((Estimates_T2[[#This Row],[A_q predicted (b=0)]]-Estimates_T2[[#This Row],[A_q measured]])/Estimates_T2[[#This Row],[A_q measured]])*100</f>
        <v>17.792626945269507</v>
      </c>
    </row>
    <row r="35" spans="1:18" x14ac:dyDescent="0.3">
      <c r="A35" s="3" t="s">
        <v>8</v>
      </c>
      <c r="B35" s="3">
        <v>170</v>
      </c>
      <c r="C35" s="3" t="s">
        <v>9</v>
      </c>
      <c r="D35" s="3">
        <v>0.5</v>
      </c>
      <c r="E35" s="3">
        <v>2</v>
      </c>
      <c r="F35" s="3">
        <v>8.9898000000008071</v>
      </c>
      <c r="G35" s="3">
        <v>184.20239999999984</v>
      </c>
      <c r="H35" s="3">
        <v>20.490155509575661</v>
      </c>
      <c r="I35" s="3" t="str">
        <f>IF(ROWS($I$22:I35)&lt;=n_T,"Training","Validation")</f>
        <v>Training</v>
      </c>
      <c r="J35" s="3">
        <f t="shared" ca="1" si="0"/>
        <v>1.2442336729355241E-2</v>
      </c>
      <c r="O35" s="3">
        <f>Data_T2[[#This Row],[A_q]]</f>
        <v>184.20239999999984</v>
      </c>
      <c r="P35" s="3">
        <f ca="1">Data_T2[[#This Row],[A_T]]*$C$11</f>
        <v>179.95938306163214</v>
      </c>
      <c r="Q35" s="3" t="str">
        <f>Data_T2[[#This Row],[T / V]]</f>
        <v>Training</v>
      </c>
      <c r="R35" s="3">
        <f ca="1">ABS((Estimates_T2[[#This Row],[A_q predicted (b=0)]]-Estimates_T2[[#This Row],[A_q measured]])/Estimates_T2[[#This Row],[A_q measured]])*100</f>
        <v>2.303453667469971</v>
      </c>
    </row>
    <row r="36" spans="1:18" x14ac:dyDescent="0.3">
      <c r="A36" s="3" t="s">
        <v>8</v>
      </c>
      <c r="B36" s="3">
        <v>170</v>
      </c>
      <c r="C36" s="3" t="s">
        <v>9</v>
      </c>
      <c r="D36" s="3">
        <v>1</v>
      </c>
      <c r="E36" s="3">
        <v>2</v>
      </c>
      <c r="F36" s="3">
        <v>9.2355319538814236</v>
      </c>
      <c r="G36" s="3">
        <v>177.19746032724149</v>
      </c>
      <c r="H36" s="3">
        <v>19.186492040966908</v>
      </c>
      <c r="I36" s="3" t="str">
        <f>IF(ROWS($I$22:I36)&lt;=n_T,"Training","Validation")</f>
        <v>Training</v>
      </c>
      <c r="J36" s="3">
        <f t="shared" ca="1" si="0"/>
        <v>0.94180821481169474</v>
      </c>
      <c r="O36" s="3">
        <f>Data_T2[[#This Row],[A_q]]</f>
        <v>177.19746032724149</v>
      </c>
      <c r="P36" s="3">
        <f ca="1">Data_T2[[#This Row],[A_T]]*$C$11</f>
        <v>184.87848813837257</v>
      </c>
      <c r="Q36" s="3" t="str">
        <f>Data_T2[[#This Row],[T / V]]</f>
        <v>Training</v>
      </c>
      <c r="R36" s="3">
        <f ca="1">ABS((Estimates_T2[[#This Row],[A_q predicted (b=0)]]-Estimates_T2[[#This Row],[A_q measured]])/Estimates_T2[[#This Row],[A_q measured]])*100</f>
        <v>4.3347279339929923</v>
      </c>
    </row>
    <row r="37" spans="1:18" x14ac:dyDescent="0.3">
      <c r="A37" s="3" t="s">
        <v>12</v>
      </c>
      <c r="B37" s="3">
        <v>170</v>
      </c>
      <c r="C37" s="3" t="s">
        <v>10</v>
      </c>
      <c r="D37" s="3">
        <v>1</v>
      </c>
      <c r="E37" s="3">
        <v>1</v>
      </c>
      <c r="F37" s="3">
        <v>13.042056671598727</v>
      </c>
      <c r="G37" s="3">
        <v>266.10625346834951</v>
      </c>
      <c r="H37" s="3">
        <v>20.403703201799502</v>
      </c>
      <c r="I37" s="3" t="str">
        <f>IF(ROWS($I$22:I37)&lt;=n_T,"Training","Validation")</f>
        <v>Training</v>
      </c>
      <c r="J37" s="3">
        <f t="shared" ca="1" si="0"/>
        <v>0.36237981014993703</v>
      </c>
      <c r="O37" s="3">
        <f>Data_T2[[#This Row],[A_q]]</f>
        <v>266.10625346834951</v>
      </c>
      <c r="P37" s="3">
        <f ca="1">Data_T2[[#This Row],[A_T]]*$C$11</f>
        <v>261.07816330458297</v>
      </c>
      <c r="Q37" s="3" t="str">
        <f>Data_T2[[#This Row],[T / V]]</f>
        <v>Training</v>
      </c>
      <c r="R37" s="3">
        <f ca="1">ABS((Estimates_T2[[#This Row],[A_q predicted (b=0)]]-Estimates_T2[[#This Row],[A_q measured]])/Estimates_T2[[#This Row],[A_q measured]])*100</f>
        <v>1.8895046990560758</v>
      </c>
    </row>
    <row r="38" spans="1:18" x14ac:dyDescent="0.3">
      <c r="A38" s="3" t="s">
        <v>8</v>
      </c>
      <c r="B38" s="3">
        <v>170</v>
      </c>
      <c r="C38" s="3" t="s">
        <v>10</v>
      </c>
      <c r="D38" s="3">
        <v>0.5</v>
      </c>
      <c r="E38" s="3">
        <v>2</v>
      </c>
      <c r="F38" s="3">
        <v>6.9327748784655023</v>
      </c>
      <c r="G38" s="3">
        <v>136.08228581679037</v>
      </c>
      <c r="H38" s="3">
        <v>19.62883379344791</v>
      </c>
      <c r="I38" s="3" t="str">
        <f>IF(ROWS($I$22:I38)&lt;=n_T,"Training","Validation")</f>
        <v>Training</v>
      </c>
      <c r="J38" s="3">
        <f t="shared" ca="1" si="0"/>
        <v>0.44967489307178565</v>
      </c>
      <c r="O38" s="3">
        <f>Data_T2[[#This Row],[A_q]]</f>
        <v>136.08228581679037</v>
      </c>
      <c r="P38" s="3">
        <f ca="1">Data_T2[[#This Row],[A_T]]*$C$11</f>
        <v>138.78149569887222</v>
      </c>
      <c r="Q38" s="3" t="str">
        <f>Data_T2[[#This Row],[T / V]]</f>
        <v>Training</v>
      </c>
      <c r="R38" s="3">
        <f ca="1">ABS((Estimates_T2[[#This Row],[A_q predicted (b=0)]]-Estimates_T2[[#This Row],[A_q measured]])/Estimates_T2[[#This Row],[A_q measured]])*100</f>
        <v>1.983513038365502</v>
      </c>
    </row>
    <row r="39" spans="1:18" x14ac:dyDescent="0.3">
      <c r="A39" s="3" t="s">
        <v>12</v>
      </c>
      <c r="B39" s="3">
        <v>170</v>
      </c>
      <c r="C39" s="3" t="s">
        <v>10</v>
      </c>
      <c r="D39" s="3">
        <v>1</v>
      </c>
      <c r="E39" s="3">
        <v>3</v>
      </c>
      <c r="F39" s="3">
        <v>7.7994267951314544</v>
      </c>
      <c r="G39" s="3">
        <v>182.63889794765294</v>
      </c>
      <c r="H39" s="3">
        <v>23.416964187888716</v>
      </c>
      <c r="I39" s="3" t="str">
        <f>IF(ROWS($I$22:I39)&lt;=n_T,"Training","Validation")</f>
        <v>Training</v>
      </c>
      <c r="J39" s="3">
        <f t="shared" ca="1" si="0"/>
        <v>0.30695367860897993</v>
      </c>
      <c r="O39" s="3">
        <f>Data_T2[[#This Row],[A_q]]</f>
        <v>182.63889794765294</v>
      </c>
      <c r="P39" s="3">
        <f ca="1">Data_T2[[#This Row],[A_T]]*$C$11</f>
        <v>156.13028479900481</v>
      </c>
      <c r="Q39" s="3" t="str">
        <f>Data_T2[[#This Row],[T / V]]</f>
        <v>Training</v>
      </c>
      <c r="R39" s="3">
        <f ca="1">ABS((Estimates_T2[[#This Row],[A_q predicted (b=0)]]-Estimates_T2[[#This Row],[A_q measured]])/Estimates_T2[[#This Row],[A_q measured]])*100</f>
        <v>14.514220928033575</v>
      </c>
    </row>
    <row r="40" spans="1:18" x14ac:dyDescent="0.3">
      <c r="A40" s="3" t="s">
        <v>11</v>
      </c>
      <c r="B40" s="3">
        <v>170</v>
      </c>
      <c r="C40" s="3" t="s">
        <v>10</v>
      </c>
      <c r="D40" s="3">
        <v>0.5</v>
      </c>
      <c r="E40" s="3">
        <v>1</v>
      </c>
      <c r="F40" s="3">
        <v>12.236660066643104</v>
      </c>
      <c r="G40" s="3">
        <v>246.42412532412126</v>
      </c>
      <c r="H40" s="3">
        <v>20.138185091524168</v>
      </c>
      <c r="I40" s="3" t="str">
        <f>IF(ROWS($I$22:I40)&lt;=n_T,"Training","Validation")</f>
        <v>Training</v>
      </c>
      <c r="J40" s="3">
        <f t="shared" ca="1" si="0"/>
        <v>0.76014492152591107</v>
      </c>
      <c r="O40" s="3">
        <f>Data_T2[[#This Row],[A_q]]</f>
        <v>246.42412532412126</v>
      </c>
      <c r="P40" s="3">
        <f ca="1">Data_T2[[#This Row],[A_T]]*$C$11</f>
        <v>244.9555937092934</v>
      </c>
      <c r="Q40" s="3" t="str">
        <f>Data_T2[[#This Row],[T / V]]</f>
        <v>Training</v>
      </c>
      <c r="R40" s="3">
        <f ca="1">ABS((Estimates_T2[[#This Row],[A_q predicted (b=0)]]-Estimates_T2[[#This Row],[A_q measured]])/Estimates_T2[[#This Row],[A_q measured]])*100</f>
        <v>0.59593662466948394</v>
      </c>
    </row>
    <row r="41" spans="1:18" x14ac:dyDescent="0.3">
      <c r="A41" s="3" t="s">
        <v>11</v>
      </c>
      <c r="B41" s="3">
        <v>170</v>
      </c>
      <c r="C41" s="3" t="s">
        <v>9</v>
      </c>
      <c r="D41" s="3">
        <v>1</v>
      </c>
      <c r="E41" s="3">
        <v>3</v>
      </c>
      <c r="F41" s="3">
        <v>12.285332570093937</v>
      </c>
      <c r="G41" s="3">
        <v>256.57732728687955</v>
      </c>
      <c r="H41" s="3">
        <v>20.884849947934107</v>
      </c>
      <c r="I41" s="3" t="str">
        <f>IF(ROWS($I$22:I41)&lt;=n_T,"Training","Validation")</f>
        <v>Training</v>
      </c>
      <c r="J41" s="3">
        <f t="shared" ca="1" si="0"/>
        <v>0.51365783260170217</v>
      </c>
      <c r="O41" s="3">
        <f>Data_T2[[#This Row],[A_q]]</f>
        <v>256.57732728687955</v>
      </c>
      <c r="P41" s="3">
        <f ca="1">Data_T2[[#This Row],[A_T]]*$C$11</f>
        <v>245.929928365579</v>
      </c>
      <c r="Q41" s="3" t="str">
        <f>Data_T2[[#This Row],[T / V]]</f>
        <v>Training</v>
      </c>
      <c r="R41" s="3">
        <f ca="1">ABS((Estimates_T2[[#This Row],[A_q predicted (b=0)]]-Estimates_T2[[#This Row],[A_q measured]])/Estimates_T2[[#This Row],[A_q measured]])*100</f>
        <v>4.1497816794216096</v>
      </c>
    </row>
    <row r="42" spans="1:18" x14ac:dyDescent="0.3">
      <c r="A42" s="3" t="s">
        <v>11</v>
      </c>
      <c r="B42" s="3">
        <v>170</v>
      </c>
      <c r="C42" s="3" t="s">
        <v>10</v>
      </c>
      <c r="D42" s="3">
        <v>0.5</v>
      </c>
      <c r="E42" s="3">
        <v>3</v>
      </c>
      <c r="F42" s="3">
        <v>13.394999999995163</v>
      </c>
      <c r="G42" s="3">
        <v>240.30809999999769</v>
      </c>
      <c r="H42" s="3">
        <v>17.940134378505746</v>
      </c>
      <c r="I42" s="3" t="str">
        <f>IF(ROWS($I$22:I42)&lt;=n_T,"Training","Validation")</f>
        <v>Training</v>
      </c>
      <c r="J42" s="3">
        <f t="shared" ca="1" si="0"/>
        <v>0.42363745123221119</v>
      </c>
      <c r="O42" s="3">
        <f>Data_T2[[#This Row],[A_q]]</f>
        <v>240.30809999999769</v>
      </c>
      <c r="P42" s="3">
        <f ca="1">Data_T2[[#This Row],[A_T]]*$C$11</f>
        <v>268.14344436021668</v>
      </c>
      <c r="Q42" s="3" t="str">
        <f>Data_T2[[#This Row],[T / V]]</f>
        <v>Training</v>
      </c>
      <c r="R42" s="3">
        <f ca="1">ABS((Estimates_T2[[#This Row],[A_q predicted (b=0)]]-Estimates_T2[[#This Row],[A_q measured]])/Estimates_T2[[#This Row],[A_q measured]])*100</f>
        <v>11.583190229634061</v>
      </c>
    </row>
    <row r="43" spans="1:18" x14ac:dyDescent="0.3">
      <c r="A43" s="3" t="s">
        <v>11</v>
      </c>
      <c r="B43" s="3">
        <v>170</v>
      </c>
      <c r="C43" s="3" t="s">
        <v>10</v>
      </c>
      <c r="D43" s="3">
        <v>0.5</v>
      </c>
      <c r="E43" s="3">
        <v>2</v>
      </c>
      <c r="F43" s="3">
        <v>12.778499999994182</v>
      </c>
      <c r="G43" s="3">
        <v>247.45169999999919</v>
      </c>
      <c r="H43" s="3">
        <v>19.364690691404459</v>
      </c>
      <c r="I43" s="3" t="str">
        <f>IF(ROWS($I$22:I43)&lt;=n_T,"Training","Validation")</f>
        <v>Training</v>
      </c>
      <c r="J43" s="3">
        <f t="shared" ca="1" si="0"/>
        <v>0.47734378521094045</v>
      </c>
      <c r="O43" s="3">
        <f>Data_T2[[#This Row],[A_q]]</f>
        <v>247.45169999999919</v>
      </c>
      <c r="P43" s="3">
        <f ca="1">Data_T2[[#This Row],[A_T]]*$C$11</f>
        <v>255.80223992211316</v>
      </c>
      <c r="Q43" s="3" t="str">
        <f>Data_T2[[#This Row],[T / V]]</f>
        <v>Training</v>
      </c>
      <c r="R43" s="3">
        <f ca="1">ABS((Estimates_T2[[#This Row],[A_q predicted (b=0)]]-Estimates_T2[[#This Row],[A_q measured]])/Estimates_T2[[#This Row],[A_q measured]])*100</f>
        <v>3.3746140851382287</v>
      </c>
    </row>
    <row r="44" spans="1:18" x14ac:dyDescent="0.3">
      <c r="A44" s="3" t="s">
        <v>11</v>
      </c>
      <c r="B44" s="3">
        <v>170</v>
      </c>
      <c r="C44" s="3" t="s">
        <v>9</v>
      </c>
      <c r="D44" s="3">
        <v>0.5</v>
      </c>
      <c r="E44" s="3">
        <v>2</v>
      </c>
      <c r="F44" s="3">
        <v>11.776659612500808</v>
      </c>
      <c r="G44" s="3">
        <v>233.47361453749977</v>
      </c>
      <c r="H44" s="3">
        <v>19.825113590756231</v>
      </c>
      <c r="I44" s="3" t="str">
        <f>IF(ROWS($I$22:I44)&lt;=n_T,"Training","Validation")</f>
        <v>Training</v>
      </c>
      <c r="J44" s="3">
        <f t="shared" ca="1" si="0"/>
        <v>0.37681209604539123</v>
      </c>
      <c r="O44" s="3">
        <f>Data_T2[[#This Row],[A_q]]</f>
        <v>233.47361453749977</v>
      </c>
      <c r="P44" s="3">
        <f ca="1">Data_T2[[#This Row],[A_T]]*$C$11</f>
        <v>235.74722445352455</v>
      </c>
      <c r="Q44" s="3" t="str">
        <f>Data_T2[[#This Row],[T / V]]</f>
        <v>Training</v>
      </c>
      <c r="R44" s="3">
        <f ca="1">ABS((Estimates_T2[[#This Row],[A_q predicted (b=0)]]-Estimates_T2[[#This Row],[A_q measured]])/Estimates_T2[[#This Row],[A_q measured]])*100</f>
        <v>0.97381878484585771</v>
      </c>
    </row>
    <row r="45" spans="1:18" x14ac:dyDescent="0.3">
      <c r="A45" s="3" t="s">
        <v>11</v>
      </c>
      <c r="B45" s="3">
        <v>170</v>
      </c>
      <c r="C45" s="3" t="s">
        <v>9</v>
      </c>
      <c r="D45" s="3">
        <v>0.5</v>
      </c>
      <c r="E45" s="3">
        <v>1</v>
      </c>
      <c r="F45" s="3">
        <v>11.393531322500698</v>
      </c>
      <c r="G45" s="3">
        <v>236.18810812499981</v>
      </c>
      <c r="H45" s="3">
        <v>20.730017888181866</v>
      </c>
      <c r="I45" s="3" t="str">
        <f>IF(ROWS($I$22:I45)&lt;=n_T,"Training","Validation")</f>
        <v>Training</v>
      </c>
      <c r="J45" s="3">
        <f t="shared" ca="1" si="0"/>
        <v>0.72611722019859681</v>
      </c>
      <c r="O45" s="3">
        <f>Data_T2[[#This Row],[A_q]]</f>
        <v>236.18810812499981</v>
      </c>
      <c r="P45" s="3">
        <f ca="1">Data_T2[[#This Row],[A_T]]*$C$11</f>
        <v>228.07769557614444</v>
      </c>
      <c r="Q45" s="3" t="str">
        <f>Data_T2[[#This Row],[T / V]]</f>
        <v>Training</v>
      </c>
      <c r="R45" s="3">
        <f ca="1">ABS((Estimates_T2[[#This Row],[A_q predicted (b=0)]]-Estimates_T2[[#This Row],[A_q measured]])/Estimates_T2[[#This Row],[A_q measured]])*100</f>
        <v>3.4338784510535292</v>
      </c>
    </row>
    <row r="46" spans="1:18" x14ac:dyDescent="0.3">
      <c r="A46" s="3" t="s">
        <v>11</v>
      </c>
      <c r="B46" s="3">
        <v>170</v>
      </c>
      <c r="C46" s="3" t="s">
        <v>10</v>
      </c>
      <c r="D46" s="3">
        <v>1</v>
      </c>
      <c r="E46" s="3">
        <v>1</v>
      </c>
      <c r="F46" s="3">
        <v>11.064381075029758</v>
      </c>
      <c r="G46" s="3">
        <v>222.77243533078848</v>
      </c>
      <c r="H46" s="3">
        <v>20.134197640168441</v>
      </c>
      <c r="I46" s="3" t="str">
        <f>IF(ROWS($I$22:I46)&lt;=n_T,"Training","Validation")</f>
        <v>Training</v>
      </c>
      <c r="J46" s="3">
        <f t="shared" ca="1" si="0"/>
        <v>6.9444577991146783E-2</v>
      </c>
      <c r="O46" s="3">
        <f>Data_T2[[#This Row],[A_q]]</f>
        <v>222.77243533078848</v>
      </c>
      <c r="P46" s="3">
        <f ca="1">Data_T2[[#This Row],[A_T]]*$C$11</f>
        <v>221.48870856092179</v>
      </c>
      <c r="Q46" s="3" t="str">
        <f>Data_T2[[#This Row],[T / V]]</f>
        <v>Training</v>
      </c>
      <c r="R46" s="3">
        <f ca="1">ABS((Estimates_T2[[#This Row],[A_q predicted (b=0)]]-Estimates_T2[[#This Row],[A_q measured]])/Estimates_T2[[#This Row],[A_q measured]])*100</f>
        <v>0.57625027439347232</v>
      </c>
    </row>
    <row r="47" spans="1:18" x14ac:dyDescent="0.3">
      <c r="A47" s="3" t="s">
        <v>12</v>
      </c>
      <c r="B47" s="3">
        <v>170</v>
      </c>
      <c r="C47" s="3" t="s">
        <v>10</v>
      </c>
      <c r="D47" s="3">
        <v>0.5</v>
      </c>
      <c r="E47" s="3">
        <v>1</v>
      </c>
      <c r="F47" s="3">
        <v>10.128440696018268</v>
      </c>
      <c r="G47" s="3">
        <v>212.52860331422897</v>
      </c>
      <c r="H47" s="3">
        <v>20.983348739730392</v>
      </c>
      <c r="I47" s="3" t="str">
        <f>IF(ROWS($I$22:I47)&lt;=n_T,"Training","Validation")</f>
        <v>Validation</v>
      </c>
      <c r="J47" s="3">
        <f t="shared" ca="1" si="0"/>
        <v>0.65015001612572731</v>
      </c>
      <c r="O47" s="3">
        <f>Data_T2[[#This Row],[A_q]]</f>
        <v>212.52860331422897</v>
      </c>
      <c r="P47" s="3">
        <f ca="1">Data_T2[[#This Row],[A_T]]*$C$11</f>
        <v>202.75289094658524</v>
      </c>
      <c r="Q47" s="3" t="str">
        <f>Data_T2[[#This Row],[T / V]]</f>
        <v>Validation</v>
      </c>
      <c r="R47" s="3">
        <f ca="1">ABS((Estimates_T2[[#This Row],[A_q predicted (b=0)]]-Estimates_T2[[#This Row],[A_q measured]])/Estimates_T2[[#This Row],[A_q measured]])*100</f>
        <v>4.5997160924217306</v>
      </c>
    </row>
    <row r="48" spans="1:18" x14ac:dyDescent="0.3">
      <c r="A48" s="3" t="s">
        <v>12</v>
      </c>
      <c r="B48" s="3">
        <v>170</v>
      </c>
      <c r="C48" s="3" t="s">
        <v>9</v>
      </c>
      <c r="D48" s="3">
        <v>1</v>
      </c>
      <c r="E48" s="3">
        <v>3</v>
      </c>
      <c r="F48" s="3">
        <v>17.283599999999968</v>
      </c>
      <c r="G48" s="3">
        <v>360.78210000000007</v>
      </c>
      <c r="H48" s="3">
        <v>20.874244948969007</v>
      </c>
      <c r="I48" s="3" t="str">
        <f>IF(ROWS($I$22:I48)&lt;=n_T,"Training","Validation")</f>
        <v>Validation</v>
      </c>
      <c r="J48" s="3">
        <f t="shared" ca="1" si="0"/>
        <v>0.16991203756967055</v>
      </c>
      <c r="O48" s="3">
        <f>Data_T2[[#This Row],[A_q]]</f>
        <v>360.78210000000007</v>
      </c>
      <c r="P48" s="3">
        <f ca="1">Data_T2[[#This Row],[A_T]]*$C$11</f>
        <v>345.98611683060136</v>
      </c>
      <c r="Q48" s="3" t="str">
        <f>Data_T2[[#This Row],[T / V]]</f>
        <v>Validation</v>
      </c>
      <c r="R48" s="3">
        <f ca="1">ABS((Estimates_T2[[#This Row],[A_q predicted (b=0)]]-Estimates_T2[[#This Row],[A_q measured]])/Estimates_T2[[#This Row],[A_q measured]])*100</f>
        <v>4.1010857161147145</v>
      </c>
    </row>
    <row r="49" spans="1:18" x14ac:dyDescent="0.3">
      <c r="A49" s="3" t="s">
        <v>8</v>
      </c>
      <c r="B49" s="3">
        <v>170</v>
      </c>
      <c r="C49" s="3" t="s">
        <v>9</v>
      </c>
      <c r="D49" s="3">
        <v>0.5</v>
      </c>
      <c r="E49" s="3">
        <v>3</v>
      </c>
      <c r="F49" s="3">
        <v>7.7242423058830347</v>
      </c>
      <c r="G49" s="3">
        <v>178.55986063999981</v>
      </c>
      <c r="H49" s="3">
        <v>23.116812441785104</v>
      </c>
      <c r="I49" s="3" t="str">
        <f>IF(ROWS($I$22:I49)&lt;=n_T,"Training","Validation")</f>
        <v>Validation</v>
      </c>
      <c r="J49" s="3">
        <f t="shared" ca="1" si="0"/>
        <v>0.1591761178391834</v>
      </c>
      <c r="O49" s="3">
        <f>Data_T2[[#This Row],[A_q]]</f>
        <v>178.55986063999981</v>
      </c>
      <c r="P49" s="3">
        <f ca="1">Data_T2[[#This Row],[A_T]]*$C$11</f>
        <v>154.6252285907523</v>
      </c>
      <c r="Q49" s="3" t="str">
        <f>Data_T2[[#This Row],[T / V]]</f>
        <v>Validation</v>
      </c>
      <c r="R49" s="3">
        <f ca="1">ABS((Estimates_T2[[#This Row],[A_q predicted (b=0)]]-Estimates_T2[[#This Row],[A_q measured]])/Estimates_T2[[#This Row],[A_q measured]])*100</f>
        <v>13.404262281265375</v>
      </c>
    </row>
    <row r="50" spans="1:18" x14ac:dyDescent="0.3">
      <c r="A50" s="3" t="s">
        <v>12</v>
      </c>
      <c r="B50" s="3">
        <v>170</v>
      </c>
      <c r="C50" s="3" t="s">
        <v>9</v>
      </c>
      <c r="D50" s="3">
        <v>0.5</v>
      </c>
      <c r="E50" s="3">
        <v>2</v>
      </c>
      <c r="F50" s="3">
        <v>17.790648849835058</v>
      </c>
      <c r="G50" s="3">
        <v>369.31674307917132</v>
      </c>
      <c r="H50" s="3">
        <v>20.759037300800603</v>
      </c>
      <c r="I50" s="3" t="str">
        <f>IF(ROWS($I$22:I50)&lt;=n_T,"Training","Validation")</f>
        <v>Validation</v>
      </c>
      <c r="J50" s="3">
        <f t="shared" ca="1" si="0"/>
        <v>0.77985806148115999</v>
      </c>
      <c r="O50" s="3">
        <f>Data_T2[[#This Row],[A_q]]</f>
        <v>369.31674307917132</v>
      </c>
      <c r="P50" s="3">
        <f ca="1">Data_T2[[#This Row],[A_T]]*$C$11</f>
        <v>356.1363090705205</v>
      </c>
      <c r="Q50" s="3" t="str">
        <f>Data_T2[[#This Row],[T / V]]</f>
        <v>Validation</v>
      </c>
      <c r="R50" s="3">
        <f ca="1">ABS((Estimates_T2[[#This Row],[A_q predicted (b=0)]]-Estimates_T2[[#This Row],[A_q measured]])/Estimates_T2[[#This Row],[A_q measured]])*100</f>
        <v>3.5688698808397374</v>
      </c>
    </row>
    <row r="51" spans="1:18" x14ac:dyDescent="0.3">
      <c r="A51" s="3" t="s">
        <v>12</v>
      </c>
      <c r="B51" s="3">
        <v>170</v>
      </c>
      <c r="C51" s="3" t="s">
        <v>9</v>
      </c>
      <c r="D51" s="3">
        <v>0.5</v>
      </c>
      <c r="E51" s="3">
        <v>1</v>
      </c>
      <c r="F51" s="3">
        <v>14.747651848983457</v>
      </c>
      <c r="G51" s="3">
        <v>292.58543252599304</v>
      </c>
      <c r="H51" s="3">
        <v>19.839458886206398</v>
      </c>
      <c r="I51" s="3" t="str">
        <f>IF(ROWS($I$22:I51)&lt;=n_T,"Training","Validation")</f>
        <v>Validation</v>
      </c>
      <c r="J51" s="3">
        <f t="shared" ca="1" si="0"/>
        <v>0.99469078288247514</v>
      </c>
      <c r="O51" s="3">
        <f>Data_T2[[#This Row],[A_q]]</f>
        <v>292.58543252599304</v>
      </c>
      <c r="P51" s="3">
        <f ca="1">Data_T2[[#This Row],[A_T]]*$C$11</f>
        <v>295.22106480128184</v>
      </c>
      <c r="Q51" s="3" t="str">
        <f>Data_T2[[#This Row],[T / V]]</f>
        <v>Validation</v>
      </c>
      <c r="R51" s="3">
        <f ca="1">ABS((Estimates_T2[[#This Row],[A_q predicted (b=0)]]-Estimates_T2[[#This Row],[A_q measured]])/Estimates_T2[[#This Row],[A_q measured]])*100</f>
        <v>0.9008077581082754</v>
      </c>
    </row>
    <row r="52" spans="1:18" x14ac:dyDescent="0.3">
      <c r="A52" s="3" t="s">
        <v>12</v>
      </c>
      <c r="B52" s="3">
        <v>170</v>
      </c>
      <c r="C52" s="3" t="s">
        <v>10</v>
      </c>
      <c r="D52" s="3">
        <v>0.5</v>
      </c>
      <c r="E52" s="3">
        <v>3</v>
      </c>
      <c r="F52" s="3">
        <v>12.827573007786603</v>
      </c>
      <c r="G52" s="3">
        <v>256.02550949111617</v>
      </c>
      <c r="H52" s="3">
        <v>19.958998427504827</v>
      </c>
      <c r="I52" s="3" t="str">
        <f>IF(ROWS($I$22:I52)&lt;=n_T,"Training","Validation")</f>
        <v>Validation</v>
      </c>
      <c r="J52" s="3">
        <f t="shared" ca="1" si="0"/>
        <v>0.3655773562853768</v>
      </c>
      <c r="O52" s="3">
        <f>Data_T2[[#This Row],[A_q]]</f>
        <v>256.02550949111617</v>
      </c>
      <c r="P52" s="3">
        <f ca="1">Data_T2[[#This Row],[A_T]]*$C$11</f>
        <v>256.78459194410499</v>
      </c>
      <c r="Q52" s="3" t="str">
        <f>Data_T2[[#This Row],[T / V]]</f>
        <v>Validation</v>
      </c>
      <c r="R52" s="3">
        <f ca="1">ABS((Estimates_T2[[#This Row],[A_q predicted (b=0)]]-Estimates_T2[[#This Row],[A_q measured]])/Estimates_T2[[#This Row],[A_q measured]])*100</f>
        <v>0.2964870393179162</v>
      </c>
    </row>
    <row r="53" spans="1:18" x14ac:dyDescent="0.3">
      <c r="A53" s="3" t="s">
        <v>8</v>
      </c>
      <c r="B53" s="3">
        <v>170</v>
      </c>
      <c r="C53" s="3" t="s">
        <v>9</v>
      </c>
      <c r="D53" s="3">
        <v>0.5</v>
      </c>
      <c r="E53" s="3">
        <v>1</v>
      </c>
      <c r="F53" s="3">
        <v>9.9350536485328842</v>
      </c>
      <c r="G53" s="3">
        <v>186.1133247973641</v>
      </c>
      <c r="H53" s="3">
        <v>18.732996456928802</v>
      </c>
      <c r="I53" s="3" t="str">
        <f>IF(ROWS($I$22:I53)&lt;=n_T,"Training","Validation")</f>
        <v>Validation</v>
      </c>
      <c r="J53" s="3">
        <f t="shared" ca="1" si="0"/>
        <v>0.24548891037089005</v>
      </c>
      <c r="O53" s="3">
        <f>Data_T2[[#This Row],[A_q]]</f>
        <v>186.1133247973641</v>
      </c>
      <c r="P53" s="3">
        <f ca="1">Data_T2[[#This Row],[A_T]]*$C$11</f>
        <v>198.88163532826479</v>
      </c>
      <c r="Q53" s="3" t="str">
        <f>Data_T2[[#This Row],[T / V]]</f>
        <v>Validation</v>
      </c>
      <c r="R53" s="3">
        <f ca="1">ABS((Estimates_T2[[#This Row],[A_q predicted (b=0)]]-Estimates_T2[[#This Row],[A_q measured]])/Estimates_T2[[#This Row],[A_q measured]])*100</f>
        <v>6.8605031610727147</v>
      </c>
    </row>
    <row r="54" spans="1:18" x14ac:dyDescent="0.3">
      <c r="A54" s="3" t="s">
        <v>8</v>
      </c>
      <c r="B54" s="3">
        <v>170</v>
      </c>
      <c r="C54" s="3" t="s">
        <v>10</v>
      </c>
      <c r="D54" s="3">
        <v>1</v>
      </c>
      <c r="E54" s="3">
        <v>1</v>
      </c>
      <c r="F54" s="3">
        <v>7.7868000000008877</v>
      </c>
      <c r="G54" s="3">
        <v>134.81040000000056</v>
      </c>
      <c r="H54" s="3">
        <v>17.312683002001489</v>
      </c>
      <c r="I54" s="3" t="str">
        <f>IF(ROWS($I$22:I54)&lt;=n_T,"Training","Validation")</f>
        <v>Validation</v>
      </c>
      <c r="J54" s="3">
        <f t="shared" ca="1" si="0"/>
        <v>0.6447690496288131</v>
      </c>
      <c r="O54" s="3">
        <f>Data_T2[[#This Row],[A_q]]</f>
        <v>134.81040000000056</v>
      </c>
      <c r="P54" s="3">
        <f ca="1">Data_T2[[#This Row],[A_T]]*$C$11</f>
        <v>155.87751941359664</v>
      </c>
      <c r="Q54" s="3" t="str">
        <f>Data_T2[[#This Row],[T / V]]</f>
        <v>Validation</v>
      </c>
      <c r="R54" s="3">
        <f ca="1">ABS((Estimates_T2[[#This Row],[A_q predicted (b=0)]]-Estimates_T2[[#This Row],[A_q measured]])/Estimates_T2[[#This Row],[A_q measured]])*100</f>
        <v>15.627221203702387</v>
      </c>
    </row>
    <row r="55" spans="1:18" x14ac:dyDescent="0.3">
      <c r="A55" s="3" t="s">
        <v>11</v>
      </c>
      <c r="B55" s="3">
        <v>170</v>
      </c>
      <c r="C55" s="3" t="s">
        <v>9</v>
      </c>
      <c r="D55" s="3">
        <v>1</v>
      </c>
      <c r="E55" s="3">
        <v>1</v>
      </c>
      <c r="F55" s="3">
        <v>11.990650156666428</v>
      </c>
      <c r="G55" s="3">
        <v>261.17692526275397</v>
      </c>
      <c r="H55" s="3">
        <v>21.781715073852585</v>
      </c>
      <c r="I55" s="3" t="str">
        <f>IF(ROWS($I$22:I55)&lt;=n_T,"Training","Validation")</f>
        <v>Validation</v>
      </c>
      <c r="J55" s="3">
        <f t="shared" ca="1" si="0"/>
        <v>0.98964371164852116</v>
      </c>
      <c r="O55" s="3">
        <f>Data_T2[[#This Row],[A_q]]</f>
        <v>261.17692526275397</v>
      </c>
      <c r="P55" s="3">
        <f ca="1">Data_T2[[#This Row],[A_T]]*$C$11</f>
        <v>240.03092445898235</v>
      </c>
      <c r="Q55" s="3" t="str">
        <f>Data_T2[[#This Row],[T / V]]</f>
        <v>Validation</v>
      </c>
      <c r="R55" s="3">
        <f ca="1">ABS((Estimates_T2[[#This Row],[A_q predicted (b=0)]]-Estimates_T2[[#This Row],[A_q measured]])/Estimates_T2[[#This Row],[A_q measured]])*100</f>
        <v>8.0964276543564964</v>
      </c>
    </row>
    <row r="56" spans="1:18" x14ac:dyDescent="0.3">
      <c r="A56" s="3" t="s">
        <v>8</v>
      </c>
      <c r="B56" s="3">
        <v>170</v>
      </c>
      <c r="C56" s="3" t="s">
        <v>9</v>
      </c>
      <c r="D56" s="3">
        <v>1</v>
      </c>
      <c r="E56" s="3">
        <v>3</v>
      </c>
      <c r="F56" s="3">
        <v>11.346010588618963</v>
      </c>
      <c r="G56" s="3">
        <v>205.62869365733505</v>
      </c>
      <c r="H56" s="3">
        <v>18.123435726703669</v>
      </c>
      <c r="I56" s="3" t="str">
        <f>IF(ROWS($I$22:I56)&lt;=n_T,"Training","Validation")</f>
        <v>Validation</v>
      </c>
      <c r="J56" s="3">
        <f t="shared" ca="1" si="0"/>
        <v>0.44215822825690787</v>
      </c>
      <c r="O56" s="3">
        <f>Data_T2[[#This Row],[A_q]]</f>
        <v>205.62869365733505</v>
      </c>
      <c r="P56" s="3">
        <f ca="1">Data_T2[[#This Row],[A_T]]*$C$11</f>
        <v>227.12641724381311</v>
      </c>
      <c r="Q56" s="3" t="str">
        <f>Data_T2[[#This Row],[T / V]]</f>
        <v>Validation</v>
      </c>
      <c r="R56" s="3">
        <f ca="1">ABS((Estimates_T2[[#This Row],[A_q predicted (b=0)]]-Estimates_T2[[#This Row],[A_q measured]])/Estimates_T2[[#This Row],[A_q measured]])*100</f>
        <v>10.454632183921968</v>
      </c>
    </row>
    <row r="57" spans="1:18" x14ac:dyDescent="0.3">
      <c r="A57" s="3" t="s">
        <v>12</v>
      </c>
      <c r="B57" s="3">
        <v>170</v>
      </c>
      <c r="C57" s="3" t="s">
        <v>9</v>
      </c>
      <c r="D57" s="3">
        <v>1</v>
      </c>
      <c r="E57" s="3">
        <v>1</v>
      </c>
      <c r="F57" s="3">
        <v>19.086000000000098</v>
      </c>
      <c r="G57" s="3">
        <v>387.39479999999998</v>
      </c>
      <c r="H57" s="3">
        <v>20.297327884313002</v>
      </c>
      <c r="I57" s="3" t="str">
        <f>IF(ROWS($I$22:I57)&lt;=n_T,"Training","Validation")</f>
        <v>Validation</v>
      </c>
      <c r="J57" s="3">
        <f t="shared" ca="1" si="0"/>
        <v>0.50621213768869933</v>
      </c>
      <c r="O57" s="3">
        <f>Data_T2[[#This Row],[A_q]]</f>
        <v>387.39479999999998</v>
      </c>
      <c r="P57" s="3">
        <f ca="1">Data_T2[[#This Row],[A_T]]*$C$11</f>
        <v>382.0668741366905</v>
      </c>
      <c r="Q57" s="3" t="str">
        <f>Data_T2[[#This Row],[T / V]]</f>
        <v>Validation</v>
      </c>
      <c r="R57" s="3">
        <f ca="1">ABS((Estimates_T2[[#This Row],[A_q predicted (b=0)]]-Estimates_T2[[#This Row],[A_q measured]])/Estimates_T2[[#This Row],[A_q measured]])*100</f>
        <v>1.3753219876233431</v>
      </c>
    </row>
    <row r="59" spans="1:18" x14ac:dyDescent="0.3">
      <c r="O59" s="2"/>
      <c r="P59" s="2"/>
      <c r="Q59" s="2"/>
      <c r="R59" s="2"/>
    </row>
    <row r="60" spans="1:18" x14ac:dyDescent="0.3">
      <c r="K60" s="3" t="s">
        <v>24</v>
      </c>
      <c r="L60" s="3" t="s">
        <v>25</v>
      </c>
      <c r="O60" s="2"/>
      <c r="P60" s="2"/>
      <c r="Q60" s="2"/>
      <c r="R60" s="2"/>
    </row>
    <row r="61" spans="1:18" x14ac:dyDescent="0.3">
      <c r="A61" s="18" t="str" cm="1">
        <f t="array" aca="1" ref="A61:J85" ca="1">_xlfn._xlws.FILTER(Data_T2[],Data_T2[T / V]="Training")</f>
        <v>RT24</v>
      </c>
      <c r="B61" s="19">
        <f ca="1"/>
        <v>170</v>
      </c>
      <c r="C61" s="19" t="str">
        <f ca="1"/>
        <v>Solidification</v>
      </c>
      <c r="D61" s="19">
        <f ca="1"/>
        <v>1</v>
      </c>
      <c r="E61" s="19">
        <f ca="1"/>
        <v>2</v>
      </c>
      <c r="F61" s="19">
        <f ca="1"/>
        <v>17.790648849835058</v>
      </c>
      <c r="G61" s="19">
        <f ca="1"/>
        <v>369.31674307917132</v>
      </c>
      <c r="H61" s="19">
        <f ca="1"/>
        <v>20.759037300800603</v>
      </c>
      <c r="I61" s="19" t="str">
        <f ca="1"/>
        <v>Training</v>
      </c>
      <c r="J61" s="20">
        <f ca="1"/>
        <v>0.70271628817402176</v>
      </c>
      <c r="K61" s="21">
        <f t="shared" ref="K61:K85" ca="1" si="1">G61-$C$11*F61</f>
        <v>13.18043400865082</v>
      </c>
      <c r="L61" s="21">
        <f ca="1">G61-AVERAGE($G$61:$G$108)</f>
        <v>147.76351048105019</v>
      </c>
      <c r="M61" s="22"/>
      <c r="N61" s="21"/>
      <c r="O61" s="18" cm="1">
        <f t="array" aca="1" ref="O61:R85" ca="1">_xlfn._xlws.FILTER(Estimates_T2[],Estimates_T2[T / V]="Training")</f>
        <v>369.31674307917132</v>
      </c>
      <c r="P61" s="19">
        <f ca="1"/>
        <v>356.1363090705205</v>
      </c>
      <c r="Q61" s="19" t="str">
        <f ca="1"/>
        <v>Training</v>
      </c>
      <c r="R61" s="19">
        <f ca="1"/>
        <v>3.5688698808397374</v>
      </c>
    </row>
    <row r="62" spans="1:18" x14ac:dyDescent="0.3">
      <c r="A62" s="23" t="str">
        <f ca="1"/>
        <v>RT11</v>
      </c>
      <c r="B62" s="21">
        <f ca="1"/>
        <v>170</v>
      </c>
      <c r="C62" s="21" t="str">
        <f ca="1"/>
        <v>Solidification</v>
      </c>
      <c r="D62" s="21">
        <f ca="1"/>
        <v>0.5</v>
      </c>
      <c r="E62" s="21">
        <f ca="1"/>
        <v>3</v>
      </c>
      <c r="F62" s="21">
        <f ca="1"/>
        <v>14.158822452174912</v>
      </c>
      <c r="G62" s="21">
        <f ca="1"/>
        <v>270.25498746086953</v>
      </c>
      <c r="H62" s="21">
        <f ca="1"/>
        <v>19.087391509691273</v>
      </c>
      <c r="I62" s="21" t="str">
        <f ca="1"/>
        <v>Training</v>
      </c>
      <c r="J62" s="24">
        <f ca="1"/>
        <v>0.69419675495198929</v>
      </c>
      <c r="K62" s="21">
        <f t="shared" ca="1" si="1"/>
        <v>-13.17878785919919</v>
      </c>
      <c r="L62" s="21">
        <f t="shared" ref="L62:L85" ca="1" si="2">G62-AVERAGE($G$61:$G$108)</f>
        <v>48.701754862748402</v>
      </c>
      <c r="M62" s="22"/>
      <c r="N62" s="21"/>
      <c r="O62" s="23">
        <f ca="1"/>
        <v>270.25498746086953</v>
      </c>
      <c r="P62" s="21">
        <f ca="1"/>
        <v>283.43377532006872</v>
      </c>
      <c r="Q62" s="21" t="str">
        <f ca="1"/>
        <v>Training</v>
      </c>
      <c r="R62" s="21">
        <f ca="1"/>
        <v>4.8764272522842367</v>
      </c>
    </row>
    <row r="63" spans="1:18" x14ac:dyDescent="0.3">
      <c r="A63" s="23" t="str">
        <f ca="1"/>
        <v>RT8</v>
      </c>
      <c r="B63" s="21">
        <f ca="1"/>
        <v>170</v>
      </c>
      <c r="C63" s="21" t="str">
        <f ca="1"/>
        <v>Melting</v>
      </c>
      <c r="D63" s="21">
        <f ca="1"/>
        <v>0.5</v>
      </c>
      <c r="E63" s="21">
        <f ca="1"/>
        <v>1</v>
      </c>
      <c r="F63" s="21">
        <f ca="1"/>
        <v>8.0972999999946342</v>
      </c>
      <c r="G63" s="21">
        <f ca="1"/>
        <v>166.90619999999905</v>
      </c>
      <c r="H63" s="21">
        <f ca="1"/>
        <v>20.612574561904541</v>
      </c>
      <c r="I63" s="21" t="str">
        <f ca="1"/>
        <v>Training</v>
      </c>
      <c r="J63" s="24">
        <f ca="1"/>
        <v>0.17694050045044751</v>
      </c>
      <c r="K63" s="21">
        <f t="shared" ca="1" si="1"/>
        <v>4.8130374753758645</v>
      </c>
      <c r="L63" s="21">
        <f t="shared" ca="1" si="2"/>
        <v>-54.647032598122081</v>
      </c>
      <c r="M63" s="22"/>
      <c r="N63" s="21"/>
      <c r="O63" s="23">
        <f ca="1"/>
        <v>166.90619999999905</v>
      </c>
      <c r="P63" s="21">
        <f ca="1"/>
        <v>162.09316252462318</v>
      </c>
      <c r="Q63" s="21" t="str">
        <f ca="1"/>
        <v>Training</v>
      </c>
      <c r="R63" s="21">
        <f ca="1"/>
        <v>2.8836780631132286</v>
      </c>
    </row>
    <row r="64" spans="1:18" x14ac:dyDescent="0.3">
      <c r="A64" s="23" t="str">
        <f ca="1"/>
        <v>RT8</v>
      </c>
      <c r="B64" s="21">
        <f ca="1"/>
        <v>170</v>
      </c>
      <c r="C64" s="21" t="str">
        <f ca="1"/>
        <v>Melting</v>
      </c>
      <c r="D64" s="21">
        <f ca="1"/>
        <v>1</v>
      </c>
      <c r="E64" s="21">
        <f ca="1"/>
        <v>3</v>
      </c>
      <c r="F64" s="21">
        <f ca="1"/>
        <v>7.872829771852226</v>
      </c>
      <c r="G64" s="21">
        <f ca="1"/>
        <v>156.15565369073173</v>
      </c>
      <c r="H64" s="21">
        <f ca="1"/>
        <v>19.834755509262493</v>
      </c>
      <c r="I64" s="21" t="str">
        <f ca="1"/>
        <v>Training</v>
      </c>
      <c r="J64" s="24">
        <f ca="1"/>
        <v>0.52911730616487151</v>
      </c>
      <c r="K64" s="21">
        <f t="shared" ca="1" si="1"/>
        <v>-1.4440246882811039</v>
      </c>
      <c r="L64" s="21">
        <f t="shared" ca="1" si="2"/>
        <v>-65.397578907389402</v>
      </c>
      <c r="M64" s="22"/>
      <c r="N64" s="21"/>
      <c r="O64" s="23">
        <f ca="1"/>
        <v>156.15565369073173</v>
      </c>
      <c r="P64" s="21">
        <f ca="1"/>
        <v>157.59967837901283</v>
      </c>
      <c r="Q64" s="21" t="str">
        <f ca="1"/>
        <v>Training</v>
      </c>
      <c r="R64" s="21">
        <f ca="1"/>
        <v>0.92473417013835013</v>
      </c>
    </row>
    <row r="65" spans="1:18" x14ac:dyDescent="0.3">
      <c r="A65" s="23" t="str">
        <f ca="1"/>
        <v>RT24</v>
      </c>
      <c r="B65" s="21">
        <f ca="1"/>
        <v>170</v>
      </c>
      <c r="C65" s="21" t="str">
        <f ca="1"/>
        <v>Melting</v>
      </c>
      <c r="D65" s="21">
        <f ca="1"/>
        <v>0.5</v>
      </c>
      <c r="E65" s="21">
        <f ca="1"/>
        <v>2</v>
      </c>
      <c r="F65" s="21">
        <f ca="1"/>
        <v>11.275199999993378</v>
      </c>
      <c r="G65" s="21">
        <f ca="1"/>
        <v>242.68199999999433</v>
      </c>
      <c r="H65" s="21">
        <f ca="1"/>
        <v>21.523520647096007</v>
      </c>
      <c r="I65" s="21" t="str">
        <f ca="1"/>
        <v>Training</v>
      </c>
      <c r="J65" s="24">
        <f ca="1"/>
        <v>0.13010605718661872</v>
      </c>
      <c r="K65" s="21">
        <f t="shared" ca="1" si="1"/>
        <v>16.973081459521694</v>
      </c>
      <c r="L65" s="21">
        <f t="shared" ca="1" si="2"/>
        <v>21.128767401873205</v>
      </c>
      <c r="M65" s="22"/>
      <c r="N65" s="21"/>
      <c r="O65" s="23">
        <f ca="1"/>
        <v>242.68199999999433</v>
      </c>
      <c r="P65" s="21">
        <f ca="1"/>
        <v>225.70891854047264</v>
      </c>
      <c r="Q65" s="21" t="str">
        <f ca="1"/>
        <v>Training</v>
      </c>
      <c r="R65" s="21">
        <f ca="1"/>
        <v>6.9939597743228141</v>
      </c>
    </row>
    <row r="66" spans="1:18" x14ac:dyDescent="0.3">
      <c r="A66" s="23" t="str">
        <f ca="1"/>
        <v>RT8</v>
      </c>
      <c r="B66" s="21">
        <f ca="1"/>
        <v>170</v>
      </c>
      <c r="C66" s="21" t="str">
        <f ca="1"/>
        <v>Melting</v>
      </c>
      <c r="D66" s="21">
        <f ca="1"/>
        <v>1</v>
      </c>
      <c r="E66" s="21">
        <f ca="1"/>
        <v>2</v>
      </c>
      <c r="F66" s="21">
        <f ca="1"/>
        <v>9.3620263278695397</v>
      </c>
      <c r="G66" s="21">
        <f ca="1"/>
        <v>159.24805774971134</v>
      </c>
      <c r="H66" s="21">
        <f ca="1"/>
        <v>17.009998922525028</v>
      </c>
      <c r="I66" s="21" t="str">
        <f ca="1"/>
        <v>Training</v>
      </c>
      <c r="J66" s="24">
        <f ca="1"/>
        <v>0.41689094230060042</v>
      </c>
      <c r="K66" s="21">
        <f t="shared" ca="1" si="1"/>
        <v>-28.162616811458946</v>
      </c>
      <c r="L66" s="21">
        <f t="shared" ca="1" si="2"/>
        <v>-62.305174848409791</v>
      </c>
      <c r="M66" s="22"/>
      <c r="N66" s="21"/>
      <c r="O66" s="23">
        <f ca="1"/>
        <v>159.24805774971134</v>
      </c>
      <c r="P66" s="21">
        <f ca="1"/>
        <v>187.41067456117028</v>
      </c>
      <c r="Q66" s="21" t="str">
        <f ca="1"/>
        <v>Training</v>
      </c>
      <c r="R66" s="21">
        <f ca="1"/>
        <v>17.684747437059396</v>
      </c>
    </row>
    <row r="67" spans="1:18" x14ac:dyDescent="0.3">
      <c r="A67" s="23" t="str">
        <f ca="1"/>
        <v>RT11</v>
      </c>
      <c r="B67" s="21">
        <f ca="1"/>
        <v>170</v>
      </c>
      <c r="C67" s="21" t="str">
        <f ca="1"/>
        <v>Melting</v>
      </c>
      <c r="D67" s="21">
        <f ca="1"/>
        <v>1</v>
      </c>
      <c r="E67" s="21">
        <f ca="1"/>
        <v>2</v>
      </c>
      <c r="F67" s="21">
        <f ca="1"/>
        <v>11.370389065312704</v>
      </c>
      <c r="G67" s="21">
        <f ca="1"/>
        <v>218.07088535308668</v>
      </c>
      <c r="H67" s="21">
        <f ca="1"/>
        <v>19.178841119724638</v>
      </c>
      <c r="I67" s="21" t="str">
        <f ca="1"/>
        <v>Training</v>
      </c>
      <c r="J67" s="24">
        <f ca="1"/>
        <v>0.92566077694653315</v>
      </c>
      <c r="K67" s="21">
        <f t="shared" ca="1" si="1"/>
        <v>-9.5435444856437357</v>
      </c>
      <c r="L67" s="21">
        <f t="shared" ca="1" si="2"/>
        <v>-3.4823472450344468</v>
      </c>
      <c r="M67" s="22"/>
      <c r="N67" s="21"/>
      <c r="O67" s="23">
        <f ca="1"/>
        <v>218.07088535308668</v>
      </c>
      <c r="P67" s="21">
        <f ca="1"/>
        <v>227.61442983873042</v>
      </c>
      <c r="Q67" s="21" t="str">
        <f ca="1"/>
        <v>Training</v>
      </c>
      <c r="R67" s="21">
        <f ca="1"/>
        <v>4.3763496764785579</v>
      </c>
    </row>
    <row r="68" spans="1:18" x14ac:dyDescent="0.3">
      <c r="A68" s="23" t="str">
        <f ca="1"/>
        <v>RT24</v>
      </c>
      <c r="B68" s="21">
        <f ca="1"/>
        <v>170</v>
      </c>
      <c r="C68" s="21" t="str">
        <f ca="1"/>
        <v>Solidification</v>
      </c>
      <c r="D68" s="21">
        <f ca="1"/>
        <v>0.5</v>
      </c>
      <c r="E68" s="21">
        <f ca="1"/>
        <v>3</v>
      </c>
      <c r="F68" s="21">
        <f ca="1"/>
        <v>15.972408843058197</v>
      </c>
      <c r="G68" s="21">
        <f ca="1"/>
        <v>309.82490270263128</v>
      </c>
      <c r="H68" s="21">
        <f ca="1"/>
        <v>19.397506396618752</v>
      </c>
      <c r="I68" s="21" t="str">
        <f ca="1"/>
        <v>Training</v>
      </c>
      <c r="J68" s="24">
        <f ca="1"/>
        <v>0.96075598852034361</v>
      </c>
      <c r="K68" s="21">
        <f t="shared" ca="1" si="1"/>
        <v>-9.9135610456893346</v>
      </c>
      <c r="L68" s="21">
        <f t="shared" ca="1" si="2"/>
        <v>88.27167010451015</v>
      </c>
      <c r="M68" s="22"/>
      <c r="N68" s="21"/>
      <c r="O68" s="23">
        <f ca="1"/>
        <v>309.82490270263128</v>
      </c>
      <c r="P68" s="21">
        <f ca="1"/>
        <v>319.73846374832061</v>
      </c>
      <c r="Q68" s="21" t="str">
        <f ca="1"/>
        <v>Training</v>
      </c>
      <c r="R68" s="21">
        <f ca="1"/>
        <v>3.1997302215581849</v>
      </c>
    </row>
    <row r="69" spans="1:18" x14ac:dyDescent="0.3">
      <c r="A69" s="23" t="str">
        <f ca="1"/>
        <v>RT8</v>
      </c>
      <c r="B69" s="21">
        <f ca="1"/>
        <v>170</v>
      </c>
      <c r="C69" s="21" t="str">
        <f ca="1"/>
        <v>Melting</v>
      </c>
      <c r="D69" s="21">
        <f ca="1"/>
        <v>0.5</v>
      </c>
      <c r="E69" s="21">
        <f ca="1"/>
        <v>3</v>
      </c>
      <c r="F69" s="21">
        <f ca="1"/>
        <v>6.6891725519443357</v>
      </c>
      <c r="G69" s="21">
        <f ca="1"/>
        <v>134.90327528622092</v>
      </c>
      <c r="H69" s="21">
        <f ca="1"/>
        <v>20.167408485674166</v>
      </c>
      <c r="I69" s="21" t="str">
        <f ca="1"/>
        <v>Training</v>
      </c>
      <c r="J69" s="24">
        <f ca="1"/>
        <v>0.33897080342293495</v>
      </c>
      <c r="K69" s="21">
        <f t="shared" ca="1" si="1"/>
        <v>0.99825341247532151</v>
      </c>
      <c r="L69" s="21">
        <f t="shared" ca="1" si="2"/>
        <v>-86.649957311900209</v>
      </c>
      <c r="M69" s="22"/>
      <c r="N69" s="21"/>
      <c r="O69" s="23">
        <f ca="1"/>
        <v>134.90327528622092</v>
      </c>
      <c r="P69" s="21">
        <f ca="1"/>
        <v>133.9050218737456</v>
      </c>
      <c r="Q69" s="21" t="str">
        <f ca="1"/>
        <v>Training</v>
      </c>
      <c r="R69" s="21">
        <f ca="1"/>
        <v>0.73997715056017144</v>
      </c>
    </row>
    <row r="70" spans="1:18" x14ac:dyDescent="0.3">
      <c r="A70" s="23" t="str">
        <f ca="1"/>
        <v>RT11</v>
      </c>
      <c r="B70" s="21">
        <f ca="1"/>
        <v>170</v>
      </c>
      <c r="C70" s="21" t="str">
        <f ca="1"/>
        <v>Melting</v>
      </c>
      <c r="D70" s="21">
        <f ca="1"/>
        <v>1</v>
      </c>
      <c r="E70" s="21">
        <f ca="1"/>
        <v>3</v>
      </c>
      <c r="F70" s="21">
        <f ca="1"/>
        <v>11.550733538461678</v>
      </c>
      <c r="G70" s="21">
        <f ca="1"/>
        <v>217.63550879854768</v>
      </c>
      <c r="H70" s="21">
        <f ca="1"/>
        <v>18.84170456134791</v>
      </c>
      <c r="I70" s="21" t="str">
        <f ca="1"/>
        <v>Training</v>
      </c>
      <c r="J70" s="24">
        <f ca="1"/>
        <v>0.70785321287338765</v>
      </c>
      <c r="K70" s="21">
        <f t="shared" ca="1" si="1"/>
        <v>-13.589088132494197</v>
      </c>
      <c r="L70" s="21">
        <f t="shared" ca="1" si="2"/>
        <v>-3.9177237995734515</v>
      </c>
      <c r="M70" s="22"/>
      <c r="N70" s="21"/>
      <c r="O70" s="23">
        <f ca="1"/>
        <v>217.63550879854768</v>
      </c>
      <c r="P70" s="21">
        <f ca="1"/>
        <v>231.22459693104187</v>
      </c>
      <c r="Q70" s="21" t="str">
        <f ca="1"/>
        <v>Training</v>
      </c>
      <c r="R70" s="21">
        <f ca="1"/>
        <v>6.2439664407304107</v>
      </c>
    </row>
    <row r="71" spans="1:18" x14ac:dyDescent="0.3">
      <c r="A71" s="23" t="str">
        <f ca="1"/>
        <v>RT11</v>
      </c>
      <c r="B71" s="21">
        <f ca="1"/>
        <v>170</v>
      </c>
      <c r="C71" s="21" t="str">
        <f ca="1"/>
        <v>Solidification</v>
      </c>
      <c r="D71" s="21">
        <f ca="1"/>
        <v>1</v>
      </c>
      <c r="E71" s="21">
        <f ca="1"/>
        <v>2</v>
      </c>
      <c r="F71" s="21">
        <f ca="1"/>
        <v>12.414593957682301</v>
      </c>
      <c r="G71" s="21">
        <f ca="1"/>
        <v>251.89549266775174</v>
      </c>
      <c r="H71" s="21">
        <f ca="1"/>
        <v>20.290272362220573</v>
      </c>
      <c r="I71" s="21" t="str">
        <f ca="1"/>
        <v>Training</v>
      </c>
      <c r="J71" s="24">
        <f ca="1"/>
        <v>0.4078927939250645</v>
      </c>
      <c r="K71" s="21">
        <f t="shared" ca="1" si="1"/>
        <v>3.3779873189149896</v>
      </c>
      <c r="L71" s="21">
        <f t="shared" ca="1" si="2"/>
        <v>30.342260069630612</v>
      </c>
      <c r="M71" s="22"/>
      <c r="N71" s="21"/>
      <c r="O71" s="23">
        <f ca="1"/>
        <v>251.89549266775174</v>
      </c>
      <c r="P71" s="21">
        <f ca="1"/>
        <v>248.51750534883675</v>
      </c>
      <c r="Q71" s="21" t="str">
        <f ca="1"/>
        <v>Training</v>
      </c>
      <c r="R71" s="21">
        <f ca="1"/>
        <v>1.3410272979241153</v>
      </c>
    </row>
    <row r="72" spans="1:18" x14ac:dyDescent="0.3">
      <c r="A72" s="23" t="str">
        <f ca="1"/>
        <v>RT24</v>
      </c>
      <c r="B72" s="21">
        <f ca="1"/>
        <v>170</v>
      </c>
      <c r="C72" s="21" t="str">
        <f ca="1"/>
        <v>Melting</v>
      </c>
      <c r="D72" s="21">
        <f ca="1"/>
        <v>1</v>
      </c>
      <c r="E72" s="21">
        <f ca="1"/>
        <v>2</v>
      </c>
      <c r="F72" s="21">
        <f ca="1"/>
        <v>11.275199999993378</v>
      </c>
      <c r="G72" s="21">
        <f ca="1"/>
        <v>242.68199999999433</v>
      </c>
      <c r="H72" s="21">
        <f ca="1"/>
        <v>21.523520647096007</v>
      </c>
      <c r="I72" s="21" t="str">
        <f ca="1"/>
        <v>Training</v>
      </c>
      <c r="J72" s="24">
        <f ca="1"/>
        <v>0.83099021185626987</v>
      </c>
      <c r="K72" s="21">
        <f t="shared" ca="1" si="1"/>
        <v>16.973081459521694</v>
      </c>
      <c r="L72" s="21">
        <f t="shared" ca="1" si="2"/>
        <v>21.128767401873205</v>
      </c>
      <c r="M72" s="22"/>
      <c r="N72" s="21"/>
      <c r="O72" s="23">
        <f ca="1"/>
        <v>242.68199999999433</v>
      </c>
      <c r="P72" s="21">
        <f ca="1"/>
        <v>225.70891854047264</v>
      </c>
      <c r="Q72" s="21" t="str">
        <f ca="1"/>
        <v>Training</v>
      </c>
      <c r="R72" s="21">
        <f ca="1"/>
        <v>6.9939597743228141</v>
      </c>
    </row>
    <row r="73" spans="1:18" x14ac:dyDescent="0.3">
      <c r="A73" s="23" t="str">
        <f ca="1"/>
        <v>RT8</v>
      </c>
      <c r="B73" s="21">
        <f ca="1"/>
        <v>170</v>
      </c>
      <c r="C73" s="21" t="str">
        <f ca="1"/>
        <v>Solidification</v>
      </c>
      <c r="D73" s="21">
        <f ca="1"/>
        <v>1</v>
      </c>
      <c r="E73" s="21">
        <f ca="1"/>
        <v>1</v>
      </c>
      <c r="F73" s="21">
        <f ca="1"/>
        <v>6.9743999999999957</v>
      </c>
      <c r="G73" s="21">
        <f ca="1"/>
        <v>169.83240000000001</v>
      </c>
      <c r="H73" s="21">
        <f ca="1"/>
        <v>24.350825877494856</v>
      </c>
      <c r="I73" s="21" t="str">
        <f ca="1"/>
        <v>Training</v>
      </c>
      <c r="J73" s="24">
        <f ca="1"/>
        <v>0.63132939044656056</v>
      </c>
      <c r="K73" s="21">
        <f t="shared" ca="1" si="1"/>
        <v>30.217645364197892</v>
      </c>
      <c r="L73" s="21">
        <f t="shared" ca="1" si="2"/>
        <v>-51.72083259812112</v>
      </c>
      <c r="M73" s="22"/>
      <c r="N73" s="21"/>
      <c r="O73" s="23">
        <f ca="1"/>
        <v>169.83240000000001</v>
      </c>
      <c r="P73" s="21">
        <f ca="1"/>
        <v>139.61475463580211</v>
      </c>
      <c r="Q73" s="21" t="str">
        <f ca="1"/>
        <v>Training</v>
      </c>
      <c r="R73" s="21">
        <f ca="1"/>
        <v>17.792626945269507</v>
      </c>
    </row>
    <row r="74" spans="1:18" x14ac:dyDescent="0.3">
      <c r="A74" s="23" t="str">
        <f ca="1"/>
        <v>RT8</v>
      </c>
      <c r="B74" s="21">
        <f ca="1"/>
        <v>170</v>
      </c>
      <c r="C74" s="21" t="str">
        <f ca="1"/>
        <v>Solidification</v>
      </c>
      <c r="D74" s="21">
        <f ca="1"/>
        <v>0.5</v>
      </c>
      <c r="E74" s="21">
        <f ca="1"/>
        <v>2</v>
      </c>
      <c r="F74" s="21">
        <f ca="1"/>
        <v>8.9898000000008071</v>
      </c>
      <c r="G74" s="21">
        <f ca="1"/>
        <v>184.20239999999984</v>
      </c>
      <c r="H74" s="21">
        <f ca="1"/>
        <v>20.490155509575661</v>
      </c>
      <c r="I74" s="21" t="str">
        <f ca="1"/>
        <v>Training</v>
      </c>
      <c r="J74" s="24">
        <f ca="1"/>
        <v>1.2442336729355241E-2</v>
      </c>
      <c r="K74" s="21">
        <f t="shared" ca="1" si="1"/>
        <v>4.2430169383677026</v>
      </c>
      <c r="L74" s="21">
        <f t="shared" ca="1" si="2"/>
        <v>-37.350832598121286</v>
      </c>
      <c r="M74" s="22"/>
      <c r="N74" s="21"/>
      <c r="O74" s="23">
        <f ca="1"/>
        <v>184.20239999999984</v>
      </c>
      <c r="P74" s="21">
        <f ca="1"/>
        <v>179.95938306163214</v>
      </c>
      <c r="Q74" s="21" t="str">
        <f ca="1"/>
        <v>Training</v>
      </c>
      <c r="R74" s="21">
        <f ca="1"/>
        <v>2.303453667469971</v>
      </c>
    </row>
    <row r="75" spans="1:18" x14ac:dyDescent="0.3">
      <c r="A75" s="23" t="str">
        <f ca="1"/>
        <v>RT8</v>
      </c>
      <c r="B75" s="21">
        <f ca="1"/>
        <v>170</v>
      </c>
      <c r="C75" s="21" t="str">
        <f ca="1"/>
        <v>Solidification</v>
      </c>
      <c r="D75" s="21">
        <f ca="1"/>
        <v>1</v>
      </c>
      <c r="E75" s="21">
        <f ca="1"/>
        <v>2</v>
      </c>
      <c r="F75" s="21">
        <f ca="1"/>
        <v>9.2355319538814236</v>
      </c>
      <c r="G75" s="21">
        <f ca="1"/>
        <v>177.19746032724149</v>
      </c>
      <c r="H75" s="21">
        <f ca="1"/>
        <v>19.186492040966908</v>
      </c>
      <c r="I75" s="21" t="str">
        <f ca="1"/>
        <v>Training</v>
      </c>
      <c r="J75" s="24">
        <f ca="1"/>
        <v>0.94180821481169474</v>
      </c>
      <c r="K75" s="21">
        <f t="shared" ca="1" si="1"/>
        <v>-7.6810278111310879</v>
      </c>
      <c r="L75" s="21">
        <f t="shared" ca="1" si="2"/>
        <v>-44.35577227087964</v>
      </c>
      <c r="M75" s="22"/>
      <c r="N75" s="21"/>
      <c r="O75" s="23">
        <f ca="1"/>
        <v>177.19746032724149</v>
      </c>
      <c r="P75" s="21">
        <f ca="1"/>
        <v>184.87848813837257</v>
      </c>
      <c r="Q75" s="21" t="str">
        <f ca="1"/>
        <v>Training</v>
      </c>
      <c r="R75" s="21">
        <f ca="1"/>
        <v>4.3347279339929923</v>
      </c>
    </row>
    <row r="76" spans="1:18" x14ac:dyDescent="0.3">
      <c r="A76" s="23" t="str">
        <f ca="1"/>
        <v>RT24</v>
      </c>
      <c r="B76" s="21">
        <f ca="1"/>
        <v>170</v>
      </c>
      <c r="C76" s="21" t="str">
        <f ca="1"/>
        <v>Melting</v>
      </c>
      <c r="D76" s="21">
        <f ca="1"/>
        <v>1</v>
      </c>
      <c r="E76" s="21">
        <f ca="1"/>
        <v>1</v>
      </c>
      <c r="F76" s="21">
        <f ca="1"/>
        <v>13.042056671598727</v>
      </c>
      <c r="G76" s="21">
        <f ca="1"/>
        <v>266.10625346834951</v>
      </c>
      <c r="H76" s="21">
        <f ca="1"/>
        <v>20.403703201799502</v>
      </c>
      <c r="I76" s="21" t="str">
        <f ca="1"/>
        <v>Training</v>
      </c>
      <c r="J76" s="24">
        <f ca="1"/>
        <v>0.36237981014993703</v>
      </c>
      <c r="K76" s="21">
        <f t="shared" ca="1" si="1"/>
        <v>5.0280901637665352</v>
      </c>
      <c r="L76" s="21">
        <f t="shared" ca="1" si="2"/>
        <v>44.55302087022838</v>
      </c>
      <c r="M76" s="22"/>
      <c r="N76" s="21"/>
      <c r="O76" s="23">
        <f ca="1"/>
        <v>266.10625346834951</v>
      </c>
      <c r="P76" s="21">
        <f ca="1"/>
        <v>261.07816330458297</v>
      </c>
      <c r="Q76" s="21" t="str">
        <f ca="1"/>
        <v>Training</v>
      </c>
      <c r="R76" s="21">
        <f ca="1"/>
        <v>1.8895046990560758</v>
      </c>
    </row>
    <row r="77" spans="1:18" x14ac:dyDescent="0.3">
      <c r="A77" s="23" t="str">
        <f ca="1"/>
        <v>RT8</v>
      </c>
      <c r="B77" s="21">
        <f ca="1"/>
        <v>170</v>
      </c>
      <c r="C77" s="21" t="str">
        <f ca="1"/>
        <v>Melting</v>
      </c>
      <c r="D77" s="21">
        <f ca="1"/>
        <v>0.5</v>
      </c>
      <c r="E77" s="21">
        <f ca="1"/>
        <v>2</v>
      </c>
      <c r="F77" s="21">
        <f ca="1"/>
        <v>6.9327748784655023</v>
      </c>
      <c r="G77" s="21">
        <f ca="1"/>
        <v>136.08228581679037</v>
      </c>
      <c r="H77" s="21">
        <f ca="1"/>
        <v>19.62883379344791</v>
      </c>
      <c r="I77" s="21" t="str">
        <f ca="1"/>
        <v>Training</v>
      </c>
      <c r="J77" s="24">
        <f ca="1"/>
        <v>0.44967489307178565</v>
      </c>
      <c r="K77" s="21">
        <f t="shared" ca="1" si="1"/>
        <v>-2.6992098820818455</v>
      </c>
      <c r="L77" s="21">
        <f t="shared" ca="1" si="2"/>
        <v>-85.470946781330753</v>
      </c>
      <c r="M77" s="22"/>
      <c r="N77" s="21"/>
      <c r="O77" s="23">
        <f ca="1"/>
        <v>136.08228581679037</v>
      </c>
      <c r="P77" s="21">
        <f ca="1"/>
        <v>138.78149569887222</v>
      </c>
      <c r="Q77" s="21" t="str">
        <f ca="1"/>
        <v>Training</v>
      </c>
      <c r="R77" s="21">
        <f ca="1"/>
        <v>1.983513038365502</v>
      </c>
    </row>
    <row r="78" spans="1:18" x14ac:dyDescent="0.3">
      <c r="A78" s="23" t="str">
        <f ca="1"/>
        <v>RT24</v>
      </c>
      <c r="B78" s="21">
        <f ca="1"/>
        <v>170</v>
      </c>
      <c r="C78" s="21" t="str">
        <f ca="1"/>
        <v>Melting</v>
      </c>
      <c r="D78" s="21">
        <f ca="1"/>
        <v>1</v>
      </c>
      <c r="E78" s="21">
        <f ca="1"/>
        <v>3</v>
      </c>
      <c r="F78" s="21">
        <f ca="1"/>
        <v>7.7994267951314544</v>
      </c>
      <c r="G78" s="21">
        <f ca="1"/>
        <v>182.63889794765294</v>
      </c>
      <c r="H78" s="21">
        <f ca="1"/>
        <v>23.416964187888716</v>
      </c>
      <c r="I78" s="21" t="str">
        <f ca="1"/>
        <v>Training</v>
      </c>
      <c r="J78" s="24">
        <f ca="1"/>
        <v>0.30695367860897993</v>
      </c>
      <c r="K78" s="21">
        <f t="shared" ca="1" si="1"/>
        <v>26.508613148648124</v>
      </c>
      <c r="L78" s="21">
        <f t="shared" ca="1" si="2"/>
        <v>-38.914334650468192</v>
      </c>
      <c r="M78" s="22"/>
      <c r="N78" s="21"/>
      <c r="O78" s="23">
        <f ca="1"/>
        <v>182.63889794765294</v>
      </c>
      <c r="P78" s="21">
        <f ca="1"/>
        <v>156.13028479900481</v>
      </c>
      <c r="Q78" s="21" t="str">
        <f ca="1"/>
        <v>Training</v>
      </c>
      <c r="R78" s="21">
        <f ca="1"/>
        <v>14.514220928033575</v>
      </c>
    </row>
    <row r="79" spans="1:18" x14ac:dyDescent="0.3">
      <c r="A79" s="23" t="str">
        <f ca="1"/>
        <v>RT11</v>
      </c>
      <c r="B79" s="21">
        <f ca="1"/>
        <v>170</v>
      </c>
      <c r="C79" s="21" t="str">
        <f ca="1"/>
        <v>Melting</v>
      </c>
      <c r="D79" s="21">
        <f ca="1"/>
        <v>0.5</v>
      </c>
      <c r="E79" s="21">
        <f ca="1"/>
        <v>1</v>
      </c>
      <c r="F79" s="21">
        <f ca="1"/>
        <v>12.236660066643104</v>
      </c>
      <c r="G79" s="21">
        <f ca="1"/>
        <v>246.42412532412126</v>
      </c>
      <c r="H79" s="21">
        <f ca="1"/>
        <v>20.138185091524168</v>
      </c>
      <c r="I79" s="21" t="str">
        <f ca="1"/>
        <v>Training</v>
      </c>
      <c r="J79" s="24">
        <f ca="1"/>
        <v>0.76014492152591107</v>
      </c>
      <c r="K79" s="21">
        <f t="shared" ca="1" si="1"/>
        <v>1.4685316148278673</v>
      </c>
      <c r="L79" s="21">
        <f t="shared" ca="1" si="2"/>
        <v>24.870892726000136</v>
      </c>
      <c r="M79" s="22"/>
      <c r="N79" s="21"/>
      <c r="O79" s="23">
        <f ca="1"/>
        <v>246.42412532412126</v>
      </c>
      <c r="P79" s="21">
        <f ca="1"/>
        <v>244.9555937092934</v>
      </c>
      <c r="Q79" s="21" t="str">
        <f ca="1"/>
        <v>Training</v>
      </c>
      <c r="R79" s="21">
        <f ca="1"/>
        <v>0.59593662466948394</v>
      </c>
    </row>
    <row r="80" spans="1:18" x14ac:dyDescent="0.3">
      <c r="A80" s="23" t="str">
        <f ca="1"/>
        <v>RT11</v>
      </c>
      <c r="B80" s="21">
        <f ca="1"/>
        <v>170</v>
      </c>
      <c r="C80" s="21" t="str">
        <f ca="1"/>
        <v>Solidification</v>
      </c>
      <c r="D80" s="21">
        <f ca="1"/>
        <v>1</v>
      </c>
      <c r="E80" s="21">
        <f ca="1"/>
        <v>3</v>
      </c>
      <c r="F80" s="21">
        <f ca="1"/>
        <v>12.285332570093937</v>
      </c>
      <c r="G80" s="21">
        <f ca="1"/>
        <v>256.57732728687955</v>
      </c>
      <c r="H80" s="21">
        <f ca="1"/>
        <v>20.884849947934107</v>
      </c>
      <c r="I80" s="21" t="str">
        <f ca="1"/>
        <v>Training</v>
      </c>
      <c r="J80" s="24">
        <f ca="1"/>
        <v>0.51365783260170217</v>
      </c>
      <c r="K80" s="21">
        <f t="shared" ca="1" si="1"/>
        <v>10.64739892130055</v>
      </c>
      <c r="L80" s="21">
        <f t="shared" ca="1" si="2"/>
        <v>35.024094688758424</v>
      </c>
      <c r="M80" s="22"/>
      <c r="N80" s="21"/>
      <c r="O80" s="23">
        <f ca="1"/>
        <v>256.57732728687955</v>
      </c>
      <c r="P80" s="21">
        <f ca="1"/>
        <v>245.929928365579</v>
      </c>
      <c r="Q80" s="21" t="str">
        <f ca="1"/>
        <v>Training</v>
      </c>
      <c r="R80" s="21">
        <f ca="1"/>
        <v>4.1497816794216096</v>
      </c>
    </row>
    <row r="81" spans="1:18" x14ac:dyDescent="0.3">
      <c r="A81" s="23" t="str">
        <f ca="1"/>
        <v>RT11</v>
      </c>
      <c r="B81" s="21">
        <f ca="1"/>
        <v>170</v>
      </c>
      <c r="C81" s="21" t="str">
        <f ca="1"/>
        <v>Melting</v>
      </c>
      <c r="D81" s="21">
        <f ca="1"/>
        <v>0.5</v>
      </c>
      <c r="E81" s="21">
        <f ca="1"/>
        <v>3</v>
      </c>
      <c r="F81" s="21">
        <f ca="1"/>
        <v>13.394999999995163</v>
      </c>
      <c r="G81" s="21">
        <f ca="1"/>
        <v>240.30809999999769</v>
      </c>
      <c r="H81" s="21">
        <f ca="1"/>
        <v>17.940134378505746</v>
      </c>
      <c r="I81" s="21" t="str">
        <f ca="1"/>
        <v>Training</v>
      </c>
      <c r="J81" s="24">
        <f ca="1"/>
        <v>0.42363745123221119</v>
      </c>
      <c r="K81" s="21">
        <f t="shared" ca="1" si="1"/>
        <v>-27.835344360218983</v>
      </c>
      <c r="L81" s="21">
        <f t="shared" ca="1" si="2"/>
        <v>18.754867401876567</v>
      </c>
      <c r="M81" s="22"/>
      <c r="N81" s="21"/>
      <c r="O81" s="23">
        <f ca="1"/>
        <v>240.30809999999769</v>
      </c>
      <c r="P81" s="21">
        <f ca="1"/>
        <v>268.14344436021668</v>
      </c>
      <c r="Q81" s="21" t="str">
        <f ca="1"/>
        <v>Training</v>
      </c>
      <c r="R81" s="21">
        <f ca="1"/>
        <v>11.583190229634061</v>
      </c>
    </row>
    <row r="82" spans="1:18" x14ac:dyDescent="0.3">
      <c r="A82" s="23" t="str">
        <f ca="1"/>
        <v>RT11</v>
      </c>
      <c r="B82" s="21">
        <f ca="1"/>
        <v>170</v>
      </c>
      <c r="C82" s="21" t="str">
        <f ca="1"/>
        <v>Melting</v>
      </c>
      <c r="D82" s="21">
        <f ca="1"/>
        <v>0.5</v>
      </c>
      <c r="E82" s="21">
        <f ca="1"/>
        <v>2</v>
      </c>
      <c r="F82" s="21">
        <f ca="1"/>
        <v>12.778499999994182</v>
      </c>
      <c r="G82" s="21">
        <f ca="1"/>
        <v>247.45169999999919</v>
      </c>
      <c r="H82" s="21">
        <f ca="1"/>
        <v>19.364690691404459</v>
      </c>
      <c r="I82" s="21" t="str">
        <f ca="1"/>
        <v>Training</v>
      </c>
      <c r="J82" s="24">
        <f ca="1"/>
        <v>0.47734378521094045</v>
      </c>
      <c r="K82" s="21">
        <f t="shared" ca="1" si="1"/>
        <v>-8.3505399221139669</v>
      </c>
      <c r="L82" s="21">
        <f t="shared" ca="1" si="2"/>
        <v>25.898467401878065</v>
      </c>
      <c r="M82" s="22"/>
      <c r="N82" s="21"/>
      <c r="O82" s="23">
        <f ca="1"/>
        <v>247.45169999999919</v>
      </c>
      <c r="P82" s="21">
        <f ca="1"/>
        <v>255.80223992211316</v>
      </c>
      <c r="Q82" s="21" t="str">
        <f ca="1"/>
        <v>Training</v>
      </c>
      <c r="R82" s="21">
        <f ca="1"/>
        <v>3.3746140851382287</v>
      </c>
    </row>
    <row r="83" spans="1:18" x14ac:dyDescent="0.3">
      <c r="A83" s="23" t="str">
        <f ca="1"/>
        <v>RT11</v>
      </c>
      <c r="B83" s="21">
        <f ca="1"/>
        <v>170</v>
      </c>
      <c r="C83" s="21" t="str">
        <f ca="1"/>
        <v>Solidification</v>
      </c>
      <c r="D83" s="21">
        <f ca="1"/>
        <v>0.5</v>
      </c>
      <c r="E83" s="21">
        <f ca="1"/>
        <v>2</v>
      </c>
      <c r="F83" s="21">
        <f ca="1"/>
        <v>11.776659612500808</v>
      </c>
      <c r="G83" s="21">
        <f ca="1"/>
        <v>233.47361453749977</v>
      </c>
      <c r="H83" s="21">
        <f ca="1"/>
        <v>19.825113590756231</v>
      </c>
      <c r="I83" s="21" t="str">
        <f ca="1"/>
        <v>Training</v>
      </c>
      <c r="J83" s="24">
        <f ca="1"/>
        <v>0.37681209604539123</v>
      </c>
      <c r="K83" s="21">
        <f t="shared" ca="1" si="1"/>
        <v>-2.2736099160247818</v>
      </c>
      <c r="L83" s="21">
        <f t="shared" ca="1" si="2"/>
        <v>11.920381939378643</v>
      </c>
      <c r="M83" s="22"/>
      <c r="N83" s="21"/>
      <c r="O83" s="23">
        <f ca="1"/>
        <v>233.47361453749977</v>
      </c>
      <c r="P83" s="21">
        <f ca="1"/>
        <v>235.74722445352455</v>
      </c>
      <c r="Q83" s="21" t="str">
        <f ca="1"/>
        <v>Training</v>
      </c>
      <c r="R83" s="21">
        <f ca="1"/>
        <v>0.97381878484585771</v>
      </c>
    </row>
    <row r="84" spans="1:18" x14ac:dyDescent="0.3">
      <c r="A84" s="23" t="str">
        <f ca="1"/>
        <v>RT11</v>
      </c>
      <c r="B84" s="21">
        <f ca="1"/>
        <v>170</v>
      </c>
      <c r="C84" s="21" t="str">
        <f ca="1"/>
        <v>Solidification</v>
      </c>
      <c r="D84" s="21">
        <f ca="1"/>
        <v>0.5</v>
      </c>
      <c r="E84" s="21">
        <f ca="1"/>
        <v>1</v>
      </c>
      <c r="F84" s="21">
        <f ca="1"/>
        <v>11.393531322500698</v>
      </c>
      <c r="G84" s="21">
        <f ca="1"/>
        <v>236.18810812499981</v>
      </c>
      <c r="H84" s="21">
        <f ca="1"/>
        <v>20.730017888181866</v>
      </c>
      <c r="I84" s="21" t="str">
        <f ca="1"/>
        <v>Training</v>
      </c>
      <c r="J84" s="24">
        <f ca="1"/>
        <v>0.72611722019859681</v>
      </c>
      <c r="K84" s="21">
        <f t="shared" ca="1" si="1"/>
        <v>8.1104125488553791</v>
      </c>
      <c r="L84" s="21">
        <f t="shared" ca="1" si="2"/>
        <v>14.634875526878687</v>
      </c>
      <c r="M84" s="22"/>
      <c r="N84" s="21"/>
      <c r="O84" s="23">
        <f ca="1"/>
        <v>236.18810812499981</v>
      </c>
      <c r="P84" s="21">
        <f ca="1"/>
        <v>228.07769557614444</v>
      </c>
      <c r="Q84" s="21" t="str">
        <f ca="1"/>
        <v>Training</v>
      </c>
      <c r="R84" s="21">
        <f ca="1"/>
        <v>3.4338784510535292</v>
      </c>
    </row>
    <row r="85" spans="1:18" x14ac:dyDescent="0.3">
      <c r="A85" s="23" t="str">
        <f ca="1"/>
        <v>RT11</v>
      </c>
      <c r="B85" s="21">
        <f ca="1"/>
        <v>170</v>
      </c>
      <c r="C85" s="21" t="str">
        <f ca="1"/>
        <v>Melting</v>
      </c>
      <c r="D85" s="21">
        <f ca="1"/>
        <v>1</v>
      </c>
      <c r="E85" s="21">
        <f ca="1"/>
        <v>1</v>
      </c>
      <c r="F85" s="21">
        <f ca="1"/>
        <v>11.064381075029758</v>
      </c>
      <c r="G85" s="21">
        <f ca="1"/>
        <v>222.77243533078848</v>
      </c>
      <c r="H85" s="21">
        <f ca="1"/>
        <v>20.134197640168441</v>
      </c>
      <c r="I85" s="21" t="str">
        <f ca="1"/>
        <v>Training</v>
      </c>
      <c r="J85" s="24">
        <f ca="1"/>
        <v>6.9444577991146783E-2</v>
      </c>
      <c r="K85" s="21">
        <f t="shared" ca="1" si="1"/>
        <v>1.2837267698666892</v>
      </c>
      <c r="L85" s="21">
        <f t="shared" ca="1" si="2"/>
        <v>1.2192027326673553</v>
      </c>
      <c r="M85" s="22"/>
      <c r="N85" s="21"/>
      <c r="O85" s="23">
        <f ca="1"/>
        <v>222.77243533078848</v>
      </c>
      <c r="P85" s="21">
        <f ca="1"/>
        <v>221.48870856092179</v>
      </c>
      <c r="Q85" s="21" t="str">
        <f ca="1"/>
        <v>Training</v>
      </c>
      <c r="R85" s="21">
        <f ca="1"/>
        <v>0.57625027439347232</v>
      </c>
    </row>
    <row r="86" spans="1:18" x14ac:dyDescent="0.3">
      <c r="A86" s="23"/>
      <c r="B86" s="21"/>
      <c r="C86" s="21"/>
      <c r="D86" s="21"/>
      <c r="E86" s="21"/>
      <c r="F86" s="21"/>
      <c r="G86" s="21"/>
      <c r="H86" s="21"/>
      <c r="I86" s="21"/>
      <c r="J86" s="24"/>
      <c r="K86" s="21"/>
      <c r="L86" s="21"/>
      <c r="M86" s="22"/>
      <c r="N86" s="21"/>
      <c r="O86" s="23"/>
      <c r="P86" s="21"/>
      <c r="Q86" s="21"/>
      <c r="R86" s="21"/>
    </row>
    <row r="87" spans="1:18" x14ac:dyDescent="0.3">
      <c r="A87" s="23"/>
      <c r="B87" s="21"/>
      <c r="C87" s="21"/>
      <c r="D87" s="21"/>
      <c r="E87" s="21"/>
      <c r="F87" s="21"/>
      <c r="G87" s="21"/>
      <c r="H87" s="21"/>
      <c r="I87" s="21"/>
      <c r="J87" s="24"/>
      <c r="K87" s="21"/>
      <c r="L87" s="21"/>
      <c r="M87" s="22"/>
      <c r="N87" s="21"/>
      <c r="O87" s="23"/>
      <c r="P87" s="21"/>
      <c r="Q87" s="21"/>
      <c r="R87" s="21"/>
    </row>
    <row r="88" spans="1:18" x14ac:dyDescent="0.3">
      <c r="A88" s="23"/>
      <c r="B88" s="21"/>
      <c r="C88" s="21"/>
      <c r="D88" s="21"/>
      <c r="E88" s="21"/>
      <c r="F88" s="21"/>
      <c r="G88" s="21"/>
      <c r="H88" s="21"/>
      <c r="I88" s="21"/>
      <c r="J88" s="24"/>
      <c r="K88" s="21"/>
      <c r="L88" s="21"/>
      <c r="M88" s="22"/>
      <c r="N88" s="21"/>
      <c r="O88" s="23"/>
      <c r="P88" s="21"/>
      <c r="Q88" s="21"/>
      <c r="R88" s="21"/>
    </row>
    <row r="89" spans="1:18" x14ac:dyDescent="0.3">
      <c r="A89" s="23"/>
      <c r="B89" s="21"/>
      <c r="C89" s="21"/>
      <c r="D89" s="21"/>
      <c r="E89" s="21"/>
      <c r="F89" s="21"/>
      <c r="G89" s="21"/>
      <c r="H89" s="21"/>
      <c r="I89" s="21"/>
      <c r="J89" s="24"/>
      <c r="K89" s="21"/>
      <c r="L89" s="21"/>
      <c r="M89" s="22"/>
      <c r="N89" s="21"/>
      <c r="O89" s="23"/>
      <c r="P89" s="21"/>
      <c r="Q89" s="21"/>
      <c r="R89" s="21"/>
    </row>
    <row r="90" spans="1:18" x14ac:dyDescent="0.3">
      <c r="A90" s="23"/>
      <c r="B90" s="21"/>
      <c r="C90" s="21"/>
      <c r="D90" s="21"/>
      <c r="E90" s="21"/>
      <c r="F90" s="21"/>
      <c r="G90" s="21"/>
      <c r="H90" s="21"/>
      <c r="I90" s="21"/>
      <c r="J90" s="24"/>
      <c r="K90" s="21"/>
      <c r="L90" s="21"/>
      <c r="M90" s="22"/>
      <c r="N90" s="21"/>
      <c r="O90" s="23"/>
      <c r="P90" s="21"/>
      <c r="Q90" s="21"/>
      <c r="R90" s="21"/>
    </row>
    <row r="91" spans="1:18" x14ac:dyDescent="0.3">
      <c r="A91" s="23"/>
      <c r="B91" s="21"/>
      <c r="C91" s="21"/>
      <c r="D91" s="21"/>
      <c r="E91" s="21"/>
      <c r="F91" s="21"/>
      <c r="G91" s="21"/>
      <c r="H91" s="21"/>
      <c r="I91" s="21"/>
      <c r="J91" s="24"/>
      <c r="K91" s="21"/>
      <c r="L91" s="21"/>
      <c r="M91" s="22"/>
      <c r="N91" s="21"/>
      <c r="O91" s="23"/>
      <c r="P91" s="21"/>
      <c r="Q91" s="21"/>
      <c r="R91" s="21"/>
    </row>
    <row r="92" spans="1:18" x14ac:dyDescent="0.3">
      <c r="A92" s="23"/>
      <c r="B92" s="21"/>
      <c r="C92" s="21"/>
      <c r="D92" s="21"/>
      <c r="E92" s="21"/>
      <c r="F92" s="21"/>
      <c r="G92" s="21"/>
      <c r="H92" s="21"/>
      <c r="I92" s="21"/>
      <c r="J92" s="24"/>
      <c r="K92" s="21"/>
      <c r="L92" s="21"/>
      <c r="M92" s="22"/>
      <c r="N92" s="21"/>
      <c r="O92" s="23"/>
      <c r="P92" s="21"/>
      <c r="Q92" s="21"/>
      <c r="R92" s="21"/>
    </row>
    <row r="93" spans="1:18" x14ac:dyDescent="0.3">
      <c r="A93" s="23"/>
      <c r="B93" s="21"/>
      <c r="C93" s="21"/>
      <c r="D93" s="21"/>
      <c r="E93" s="21"/>
      <c r="F93" s="21"/>
      <c r="G93" s="21"/>
      <c r="H93" s="21"/>
      <c r="I93" s="21"/>
      <c r="J93" s="24"/>
      <c r="K93" s="21"/>
      <c r="L93" s="21"/>
      <c r="M93" s="22"/>
      <c r="N93" s="21"/>
      <c r="O93" s="23"/>
      <c r="P93" s="21"/>
      <c r="Q93" s="21"/>
      <c r="R93" s="21"/>
    </row>
    <row r="94" spans="1:18" x14ac:dyDescent="0.3">
      <c r="A94" s="23"/>
      <c r="B94" s="21"/>
      <c r="C94" s="21"/>
      <c r="D94" s="21"/>
      <c r="E94" s="21"/>
      <c r="F94" s="21"/>
      <c r="G94" s="21"/>
      <c r="H94" s="21"/>
      <c r="I94" s="21"/>
      <c r="J94" s="24"/>
      <c r="K94" s="21"/>
      <c r="L94" s="21"/>
      <c r="M94" s="22"/>
      <c r="N94" s="21"/>
      <c r="O94" s="23"/>
      <c r="P94" s="21"/>
      <c r="Q94" s="21"/>
      <c r="R94" s="21"/>
    </row>
    <row r="95" spans="1:18" x14ac:dyDescent="0.3">
      <c r="A95" s="23"/>
      <c r="B95" s="21"/>
      <c r="C95" s="21"/>
      <c r="D95" s="21"/>
      <c r="E95" s="21"/>
      <c r="F95" s="21"/>
      <c r="G95" s="21"/>
      <c r="H95" s="21"/>
      <c r="I95" s="21"/>
      <c r="J95" s="24"/>
      <c r="K95" s="21"/>
      <c r="L95" s="21"/>
      <c r="M95" s="22"/>
      <c r="N95" s="21"/>
      <c r="O95" s="23"/>
      <c r="P95" s="21"/>
      <c r="Q95" s="21"/>
      <c r="R95" s="21"/>
    </row>
    <row r="96" spans="1:18" x14ac:dyDescent="0.3">
      <c r="A96" s="23"/>
      <c r="B96" s="21"/>
      <c r="C96" s="21"/>
      <c r="D96" s="21"/>
      <c r="E96" s="21"/>
      <c r="F96" s="21"/>
      <c r="G96" s="21"/>
      <c r="H96" s="21"/>
      <c r="I96" s="21"/>
      <c r="J96" s="24"/>
      <c r="K96" s="21"/>
      <c r="L96" s="21"/>
      <c r="M96" s="22"/>
      <c r="N96" s="21"/>
      <c r="O96" s="23"/>
      <c r="P96" s="21"/>
      <c r="Q96" s="21"/>
      <c r="R96" s="21"/>
    </row>
    <row r="97" spans="1:18" x14ac:dyDescent="0.3">
      <c r="A97" s="23"/>
      <c r="B97" s="21"/>
      <c r="C97" s="21"/>
      <c r="D97" s="21"/>
      <c r="E97" s="21"/>
      <c r="F97" s="21"/>
      <c r="G97" s="21"/>
      <c r="H97" s="21"/>
      <c r="I97" s="21"/>
      <c r="J97" s="24"/>
      <c r="K97" s="21"/>
      <c r="L97" s="21"/>
      <c r="M97" s="22"/>
      <c r="N97" s="21"/>
      <c r="O97" s="23"/>
      <c r="P97" s="21"/>
      <c r="Q97" s="21"/>
      <c r="R97" s="21"/>
    </row>
    <row r="98" spans="1:18" x14ac:dyDescent="0.3">
      <c r="A98" s="23"/>
      <c r="B98" s="21"/>
      <c r="C98" s="21"/>
      <c r="D98" s="21"/>
      <c r="E98" s="21"/>
      <c r="F98" s="21"/>
      <c r="G98" s="21"/>
      <c r="H98" s="21"/>
      <c r="I98" s="21"/>
      <c r="J98" s="24"/>
      <c r="K98" s="21"/>
      <c r="L98" s="21"/>
      <c r="M98" s="22"/>
      <c r="N98" s="21"/>
      <c r="O98" s="23"/>
      <c r="P98" s="21"/>
      <c r="Q98" s="21"/>
      <c r="R98" s="21"/>
    </row>
    <row r="99" spans="1:18" x14ac:dyDescent="0.3">
      <c r="A99" s="23"/>
      <c r="B99" s="21"/>
      <c r="C99" s="21"/>
      <c r="D99" s="21"/>
      <c r="E99" s="21"/>
      <c r="F99" s="21"/>
      <c r="G99" s="21"/>
      <c r="H99" s="21"/>
      <c r="I99" s="21"/>
      <c r="J99" s="24"/>
      <c r="K99" s="21"/>
      <c r="L99" s="21"/>
      <c r="M99" s="22"/>
      <c r="N99" s="21"/>
      <c r="O99" s="23"/>
      <c r="P99" s="21"/>
      <c r="Q99" s="21"/>
      <c r="R99" s="21"/>
    </row>
    <row r="100" spans="1:18" x14ac:dyDescent="0.3">
      <c r="A100" s="23"/>
      <c r="B100" s="21"/>
      <c r="C100" s="21"/>
      <c r="D100" s="21"/>
      <c r="E100" s="21"/>
      <c r="F100" s="21"/>
      <c r="G100" s="21"/>
      <c r="H100" s="21"/>
      <c r="I100" s="21"/>
      <c r="J100" s="24"/>
      <c r="K100" s="21"/>
      <c r="L100" s="21"/>
      <c r="M100" s="22"/>
      <c r="N100" s="21"/>
      <c r="O100" s="23"/>
      <c r="P100" s="21"/>
      <c r="Q100" s="21"/>
      <c r="R100" s="21"/>
    </row>
    <row r="101" spans="1:18" x14ac:dyDescent="0.3">
      <c r="A101" s="23"/>
      <c r="B101" s="21"/>
      <c r="C101" s="21"/>
      <c r="D101" s="21"/>
      <c r="E101" s="21"/>
      <c r="F101" s="21"/>
      <c r="G101" s="21"/>
      <c r="H101" s="21"/>
      <c r="I101" s="21"/>
      <c r="J101" s="24"/>
      <c r="K101" s="21"/>
      <c r="L101" s="21"/>
      <c r="M101" s="22"/>
      <c r="N101" s="21"/>
      <c r="O101" s="23"/>
      <c r="P101" s="21"/>
      <c r="Q101" s="21"/>
      <c r="R101" s="21"/>
    </row>
    <row r="102" spans="1:18" x14ac:dyDescent="0.3">
      <c r="A102" s="23"/>
      <c r="B102" s="21"/>
      <c r="C102" s="21"/>
      <c r="D102" s="21"/>
      <c r="E102" s="21"/>
      <c r="F102" s="21"/>
      <c r="G102" s="21"/>
      <c r="H102" s="21"/>
      <c r="I102" s="21"/>
      <c r="J102" s="24"/>
      <c r="K102" s="21"/>
      <c r="L102" s="21"/>
      <c r="M102" s="22"/>
      <c r="N102" s="21"/>
      <c r="O102" s="23"/>
      <c r="P102" s="21"/>
      <c r="Q102" s="21"/>
      <c r="R102" s="21"/>
    </row>
    <row r="103" spans="1:18" x14ac:dyDescent="0.3">
      <c r="A103" s="23"/>
      <c r="B103" s="21"/>
      <c r="C103" s="21"/>
      <c r="D103" s="21"/>
      <c r="E103" s="21"/>
      <c r="F103" s="21"/>
      <c r="G103" s="21"/>
      <c r="H103" s="21"/>
      <c r="I103" s="21"/>
      <c r="J103" s="24"/>
      <c r="K103" s="21"/>
      <c r="L103" s="21"/>
      <c r="M103" s="22"/>
      <c r="N103" s="21"/>
      <c r="O103" s="23"/>
      <c r="P103" s="21"/>
      <c r="Q103" s="21"/>
      <c r="R103" s="21"/>
    </row>
    <row r="104" spans="1:18" x14ac:dyDescent="0.3">
      <c r="A104" s="23"/>
      <c r="B104" s="21"/>
      <c r="C104" s="21"/>
      <c r="D104" s="21"/>
      <c r="E104" s="21"/>
      <c r="F104" s="21"/>
      <c r="G104" s="21"/>
      <c r="H104" s="21"/>
      <c r="I104" s="21"/>
      <c r="J104" s="24"/>
      <c r="K104" s="21"/>
      <c r="L104" s="21"/>
      <c r="M104" s="22"/>
      <c r="N104" s="21"/>
      <c r="O104" s="23"/>
      <c r="P104" s="21"/>
      <c r="Q104" s="21"/>
      <c r="R104" s="21"/>
    </row>
    <row r="105" spans="1:18" x14ac:dyDescent="0.3">
      <c r="A105" s="23"/>
      <c r="B105" s="21"/>
      <c r="C105" s="21"/>
      <c r="D105" s="21"/>
      <c r="E105" s="21"/>
      <c r="F105" s="21"/>
      <c r="G105" s="21"/>
      <c r="H105" s="21"/>
      <c r="I105" s="21"/>
      <c r="J105" s="24"/>
      <c r="K105" s="21"/>
      <c r="L105" s="21"/>
      <c r="M105" s="22"/>
      <c r="N105" s="21"/>
      <c r="O105" s="23"/>
      <c r="P105" s="21"/>
      <c r="Q105" s="21"/>
      <c r="R105" s="21"/>
    </row>
    <row r="106" spans="1:18" x14ac:dyDescent="0.3">
      <c r="A106" s="23"/>
      <c r="B106" s="21"/>
      <c r="C106" s="21"/>
      <c r="D106" s="21"/>
      <c r="E106" s="21"/>
      <c r="F106" s="21"/>
      <c r="G106" s="21"/>
      <c r="H106" s="21"/>
      <c r="I106" s="21"/>
      <c r="J106" s="24"/>
      <c r="K106" s="21"/>
      <c r="L106" s="21"/>
      <c r="M106" s="22"/>
      <c r="N106" s="21"/>
      <c r="O106" s="23"/>
      <c r="P106" s="21"/>
      <c r="Q106" s="21"/>
      <c r="R106" s="21"/>
    </row>
    <row r="107" spans="1:18" x14ac:dyDescent="0.3">
      <c r="A107" s="23"/>
      <c r="B107" s="21"/>
      <c r="C107" s="21"/>
      <c r="D107" s="21"/>
      <c r="E107" s="21"/>
      <c r="F107" s="21"/>
      <c r="G107" s="21"/>
      <c r="H107" s="21"/>
      <c r="I107" s="21"/>
      <c r="J107" s="24"/>
      <c r="K107" s="21"/>
      <c r="L107" s="21"/>
      <c r="M107" s="22"/>
      <c r="N107" s="21"/>
      <c r="O107" s="23"/>
      <c r="P107" s="21"/>
      <c r="Q107" s="21"/>
      <c r="R107" s="21"/>
    </row>
    <row r="108" spans="1:18" x14ac:dyDescent="0.3">
      <c r="A108" s="23"/>
      <c r="B108" s="21"/>
      <c r="C108" s="21"/>
      <c r="D108" s="21"/>
      <c r="E108" s="21"/>
      <c r="F108" s="21"/>
      <c r="G108" s="21"/>
      <c r="H108" s="21"/>
      <c r="I108" s="21"/>
      <c r="J108" s="24"/>
      <c r="K108" s="21"/>
      <c r="L108" s="21"/>
      <c r="M108" s="22"/>
      <c r="N108" s="21"/>
      <c r="O108" s="23"/>
      <c r="P108" s="21"/>
      <c r="Q108" s="21"/>
      <c r="R108" s="21"/>
    </row>
    <row r="109" spans="1:18" x14ac:dyDescent="0.3">
      <c r="A109" s="23"/>
      <c r="B109" s="21"/>
      <c r="C109" s="21"/>
      <c r="D109" s="21"/>
      <c r="E109" s="21"/>
      <c r="F109" s="21"/>
      <c r="G109" s="21"/>
      <c r="H109" s="21"/>
      <c r="I109" s="21"/>
      <c r="J109" s="24"/>
      <c r="K109" s="21"/>
      <c r="L109" s="21"/>
      <c r="M109" s="22"/>
      <c r="N109" s="21"/>
      <c r="O109" s="23"/>
      <c r="P109" s="21"/>
      <c r="Q109" s="21"/>
      <c r="R109" s="21"/>
    </row>
    <row r="110" spans="1:18" x14ac:dyDescent="0.3">
      <c r="A110" s="23"/>
      <c r="B110" s="21"/>
      <c r="C110" s="21"/>
      <c r="D110" s="21"/>
      <c r="E110" s="21"/>
      <c r="F110" s="21"/>
      <c r="G110" s="21"/>
      <c r="H110" s="21"/>
      <c r="I110" s="21"/>
      <c r="J110" s="24"/>
      <c r="K110" s="21"/>
      <c r="L110" s="21"/>
      <c r="M110" s="22"/>
      <c r="N110" s="21"/>
      <c r="O110" s="23"/>
      <c r="P110" s="21"/>
      <c r="Q110" s="21"/>
      <c r="R110" s="21"/>
    </row>
    <row r="111" spans="1:18" x14ac:dyDescent="0.3">
      <c r="A111" s="23"/>
      <c r="B111" s="21"/>
      <c r="C111" s="21"/>
      <c r="D111" s="21"/>
      <c r="E111" s="21"/>
      <c r="F111" s="21"/>
      <c r="G111" s="21"/>
      <c r="H111" s="21"/>
      <c r="I111" s="21"/>
      <c r="J111" s="24"/>
      <c r="K111" s="21"/>
      <c r="L111" s="21"/>
      <c r="M111" s="22"/>
      <c r="N111" s="21"/>
      <c r="O111" s="23"/>
      <c r="P111" s="21"/>
      <c r="Q111" s="21"/>
      <c r="R111" s="21"/>
    </row>
    <row r="112" spans="1:18" x14ac:dyDescent="0.3">
      <c r="A112" s="23"/>
      <c r="B112" s="21"/>
      <c r="C112" s="21"/>
      <c r="D112" s="21"/>
      <c r="E112" s="21"/>
      <c r="F112" s="21"/>
      <c r="G112" s="21"/>
      <c r="H112" s="21"/>
      <c r="I112" s="21"/>
      <c r="J112" s="24"/>
      <c r="K112" s="21"/>
      <c r="L112" s="21"/>
      <c r="M112" s="22"/>
      <c r="N112" s="21"/>
      <c r="O112" s="23"/>
      <c r="P112" s="21"/>
      <c r="Q112" s="21"/>
      <c r="R112" s="21"/>
    </row>
    <row r="113" spans="1:18" x14ac:dyDescent="0.3">
      <c r="A113" s="23"/>
      <c r="B113" s="21"/>
      <c r="C113" s="21"/>
      <c r="D113" s="21"/>
      <c r="E113" s="21"/>
      <c r="F113" s="21"/>
      <c r="G113" s="21"/>
      <c r="H113" s="21"/>
      <c r="I113" s="21"/>
      <c r="J113" s="24"/>
      <c r="K113" s="21"/>
      <c r="L113" s="21"/>
      <c r="M113" s="22"/>
      <c r="N113" s="21"/>
      <c r="O113" s="23"/>
      <c r="P113" s="21"/>
      <c r="Q113" s="21"/>
      <c r="R113" s="21"/>
    </row>
    <row r="114" spans="1:18" x14ac:dyDescent="0.3">
      <c r="A114" s="23"/>
      <c r="B114" s="21"/>
      <c r="C114" s="21"/>
      <c r="D114" s="21"/>
      <c r="E114" s="21"/>
      <c r="F114" s="21"/>
      <c r="G114" s="21"/>
      <c r="H114" s="21"/>
      <c r="I114" s="21"/>
      <c r="J114" s="24"/>
      <c r="K114" s="21"/>
      <c r="L114" s="21"/>
      <c r="M114" s="22"/>
      <c r="N114" s="21"/>
      <c r="O114" s="23"/>
      <c r="P114" s="21"/>
      <c r="Q114" s="21"/>
      <c r="R114" s="21"/>
    </row>
    <row r="115" spans="1:18" x14ac:dyDescent="0.3">
      <c r="A115" s="23"/>
      <c r="B115" s="21"/>
      <c r="C115" s="21"/>
      <c r="D115" s="21"/>
      <c r="E115" s="21"/>
      <c r="F115" s="21"/>
      <c r="G115" s="21"/>
      <c r="H115" s="21"/>
      <c r="I115" s="21"/>
      <c r="J115" s="24"/>
      <c r="K115" s="21"/>
      <c r="L115" s="21"/>
      <c r="M115" s="22"/>
      <c r="N115" s="21"/>
      <c r="O115" s="23"/>
      <c r="P115" s="21"/>
      <c r="Q115" s="21"/>
      <c r="R115" s="21"/>
    </row>
    <row r="116" spans="1:18" x14ac:dyDescent="0.3">
      <c r="A116" s="23"/>
      <c r="B116" s="21"/>
      <c r="C116" s="21"/>
      <c r="D116" s="21"/>
      <c r="E116" s="21"/>
      <c r="F116" s="21"/>
      <c r="G116" s="21"/>
      <c r="H116" s="21"/>
      <c r="I116" s="21"/>
      <c r="J116" s="24"/>
      <c r="K116" s="21"/>
      <c r="L116" s="21"/>
      <c r="M116" s="22"/>
      <c r="N116" s="21"/>
      <c r="O116" s="23"/>
      <c r="P116" s="21"/>
      <c r="Q116" s="21"/>
      <c r="R116" s="21"/>
    </row>
    <row r="117" spans="1:18" x14ac:dyDescent="0.3">
      <c r="A117" s="23"/>
      <c r="B117" s="21"/>
      <c r="C117" s="21"/>
      <c r="D117" s="21"/>
      <c r="E117" s="21"/>
      <c r="F117" s="21"/>
      <c r="G117" s="21"/>
      <c r="H117" s="21"/>
      <c r="I117" s="21"/>
      <c r="J117" s="24"/>
      <c r="K117" s="21"/>
      <c r="L117" s="21"/>
      <c r="M117" s="22"/>
      <c r="N117" s="21"/>
      <c r="O117" s="23"/>
      <c r="P117" s="21"/>
      <c r="Q117" s="21"/>
      <c r="R117" s="21"/>
    </row>
    <row r="118" spans="1:18" x14ac:dyDescent="0.3">
      <c r="A118" s="23"/>
      <c r="B118" s="21"/>
      <c r="C118" s="21"/>
      <c r="D118" s="21"/>
      <c r="E118" s="21"/>
      <c r="F118" s="21"/>
      <c r="G118" s="21"/>
      <c r="H118" s="21"/>
      <c r="I118" s="21"/>
      <c r="J118" s="24"/>
      <c r="K118" s="21"/>
      <c r="L118" s="21"/>
      <c r="M118" s="22"/>
      <c r="N118" s="21"/>
      <c r="O118" s="23"/>
      <c r="P118" s="21"/>
      <c r="Q118" s="21"/>
      <c r="R118" s="21"/>
    </row>
    <row r="119" spans="1:18" x14ac:dyDescent="0.3">
      <c r="A119" s="23"/>
      <c r="B119" s="21"/>
      <c r="C119" s="21"/>
      <c r="D119" s="21"/>
      <c r="E119" s="21"/>
      <c r="F119" s="21"/>
      <c r="G119" s="21"/>
      <c r="H119" s="21"/>
      <c r="I119" s="21"/>
      <c r="J119" s="24"/>
      <c r="K119" s="21"/>
      <c r="L119" s="21"/>
      <c r="M119" s="22"/>
      <c r="N119" s="21"/>
      <c r="O119" s="23"/>
      <c r="P119" s="21"/>
      <c r="Q119" s="21"/>
      <c r="R119" s="21"/>
    </row>
    <row r="120" spans="1:18" x14ac:dyDescent="0.3">
      <c r="A120" s="25"/>
      <c r="B120" s="26"/>
      <c r="C120" s="26"/>
      <c r="D120" s="26"/>
      <c r="E120" s="26"/>
      <c r="F120" s="26"/>
      <c r="G120" s="26"/>
      <c r="H120" s="26"/>
      <c r="I120" s="26"/>
      <c r="J120" s="27"/>
      <c r="K120" s="21"/>
      <c r="L120" s="21"/>
      <c r="M120" s="22"/>
      <c r="N120" s="21"/>
      <c r="O120" s="25"/>
      <c r="P120" s="26"/>
      <c r="Q120" s="26"/>
      <c r="R120" s="26"/>
    </row>
    <row r="124" spans="1:18" x14ac:dyDescent="0.3">
      <c r="A124" s="28" t="str" cm="1">
        <f t="array" aca="1" ref="A124:J134" ca="1">_xlfn._xlws.FILTER(Data_T2[],Data_T2[T / V]="Validation")</f>
        <v>RT24</v>
      </c>
      <c r="B124" s="29">
        <f ca="1"/>
        <v>170</v>
      </c>
      <c r="C124" s="29" t="str">
        <f ca="1"/>
        <v>Melting</v>
      </c>
      <c r="D124" s="29">
        <f ca="1"/>
        <v>0.5</v>
      </c>
      <c r="E124" s="29">
        <f ca="1"/>
        <v>1</v>
      </c>
      <c r="F124" s="29">
        <f ca="1"/>
        <v>10.128440696018268</v>
      </c>
      <c r="G124" s="29">
        <f ca="1"/>
        <v>212.52860331422897</v>
      </c>
      <c r="H124" s="29">
        <f ca="1"/>
        <v>20.983348739730392</v>
      </c>
      <c r="I124" s="29" t="str">
        <f ca="1"/>
        <v>Validation</v>
      </c>
      <c r="J124" s="30">
        <f ca="1"/>
        <v>0.65015001612572731</v>
      </c>
      <c r="K124" s="31"/>
      <c r="L124" s="31"/>
      <c r="M124" s="32"/>
      <c r="N124" s="31"/>
      <c r="O124" s="28" cm="1">
        <f t="array" aca="1" ref="O124:R134" ca="1">_xlfn._xlws.FILTER(Estimates_T2[],Estimates_T2[T / V]="Validation")</f>
        <v>212.52860331422897</v>
      </c>
      <c r="P124" s="29">
        <f ca="1"/>
        <v>202.75289094658524</v>
      </c>
      <c r="Q124" s="29" t="str">
        <f ca="1"/>
        <v>Validation</v>
      </c>
      <c r="R124" s="29">
        <f ca="1"/>
        <v>4.5997160924217306</v>
      </c>
    </row>
    <row r="125" spans="1:18" x14ac:dyDescent="0.3">
      <c r="A125" s="33" t="str">
        <f ca="1"/>
        <v>RT24</v>
      </c>
      <c r="B125" s="31">
        <f ca="1"/>
        <v>170</v>
      </c>
      <c r="C125" s="31" t="str">
        <f ca="1"/>
        <v>Solidification</v>
      </c>
      <c r="D125" s="31">
        <f ca="1"/>
        <v>1</v>
      </c>
      <c r="E125" s="31">
        <f ca="1"/>
        <v>3</v>
      </c>
      <c r="F125" s="31">
        <f ca="1"/>
        <v>17.283599999999968</v>
      </c>
      <c r="G125" s="31">
        <f ca="1"/>
        <v>360.78210000000007</v>
      </c>
      <c r="H125" s="31">
        <f ca="1"/>
        <v>20.874244948969007</v>
      </c>
      <c r="I125" s="31" t="str">
        <f ca="1"/>
        <v>Validation</v>
      </c>
      <c r="J125" s="34">
        <f ca="1"/>
        <v>0.16991203756967055</v>
      </c>
      <c r="K125" s="31"/>
      <c r="L125" s="31"/>
      <c r="M125" s="32"/>
      <c r="N125" s="31"/>
      <c r="O125" s="33">
        <f ca="1"/>
        <v>360.78210000000007</v>
      </c>
      <c r="P125" s="31">
        <f ca="1"/>
        <v>345.98611683060136</v>
      </c>
      <c r="Q125" s="31" t="str">
        <f ca="1"/>
        <v>Validation</v>
      </c>
      <c r="R125" s="31">
        <f ca="1"/>
        <v>4.1010857161147145</v>
      </c>
    </row>
    <row r="126" spans="1:18" x14ac:dyDescent="0.3">
      <c r="A126" s="33" t="str">
        <f ca="1"/>
        <v>RT8</v>
      </c>
      <c r="B126" s="31">
        <f ca="1"/>
        <v>170</v>
      </c>
      <c r="C126" s="31" t="str">
        <f ca="1"/>
        <v>Solidification</v>
      </c>
      <c r="D126" s="31">
        <f ca="1"/>
        <v>0.5</v>
      </c>
      <c r="E126" s="31">
        <f ca="1"/>
        <v>3</v>
      </c>
      <c r="F126" s="31">
        <f ca="1"/>
        <v>7.7242423058830347</v>
      </c>
      <c r="G126" s="31">
        <f ca="1"/>
        <v>178.55986063999981</v>
      </c>
      <c r="H126" s="31">
        <f ca="1"/>
        <v>23.116812441785104</v>
      </c>
      <c r="I126" s="31" t="str">
        <f ca="1"/>
        <v>Validation</v>
      </c>
      <c r="J126" s="34">
        <f ca="1"/>
        <v>0.1591761178391834</v>
      </c>
      <c r="K126" s="31"/>
      <c r="L126" s="31"/>
      <c r="M126" s="32"/>
      <c r="N126" s="31"/>
      <c r="O126" s="33">
        <f ca="1"/>
        <v>178.55986063999981</v>
      </c>
      <c r="P126" s="31">
        <f ca="1"/>
        <v>154.6252285907523</v>
      </c>
      <c r="Q126" s="31" t="str">
        <f ca="1"/>
        <v>Validation</v>
      </c>
      <c r="R126" s="31">
        <f ca="1"/>
        <v>13.404262281265375</v>
      </c>
    </row>
    <row r="127" spans="1:18" x14ac:dyDescent="0.3">
      <c r="A127" s="33" t="str">
        <f ca="1"/>
        <v>RT24</v>
      </c>
      <c r="B127" s="31">
        <f ca="1"/>
        <v>170</v>
      </c>
      <c r="C127" s="31" t="str">
        <f ca="1"/>
        <v>Solidification</v>
      </c>
      <c r="D127" s="31">
        <f ca="1"/>
        <v>0.5</v>
      </c>
      <c r="E127" s="31">
        <f ca="1"/>
        <v>2</v>
      </c>
      <c r="F127" s="31">
        <f ca="1"/>
        <v>17.790648849835058</v>
      </c>
      <c r="G127" s="31">
        <f ca="1"/>
        <v>369.31674307917132</v>
      </c>
      <c r="H127" s="31">
        <f ca="1"/>
        <v>20.759037300800603</v>
      </c>
      <c r="I127" s="31" t="str">
        <f ca="1"/>
        <v>Validation</v>
      </c>
      <c r="J127" s="34">
        <f ca="1"/>
        <v>0.77985806148115999</v>
      </c>
      <c r="K127" s="31"/>
      <c r="L127" s="31"/>
      <c r="M127" s="32"/>
      <c r="N127" s="31"/>
      <c r="O127" s="33">
        <f ca="1"/>
        <v>369.31674307917132</v>
      </c>
      <c r="P127" s="31">
        <f ca="1"/>
        <v>356.1363090705205</v>
      </c>
      <c r="Q127" s="31" t="str">
        <f ca="1"/>
        <v>Validation</v>
      </c>
      <c r="R127" s="31">
        <f ca="1"/>
        <v>3.5688698808397374</v>
      </c>
    </row>
    <row r="128" spans="1:18" x14ac:dyDescent="0.3">
      <c r="A128" s="33" t="str">
        <f ca="1"/>
        <v>RT24</v>
      </c>
      <c r="B128" s="31">
        <f ca="1"/>
        <v>170</v>
      </c>
      <c r="C128" s="31" t="str">
        <f ca="1"/>
        <v>Solidification</v>
      </c>
      <c r="D128" s="31">
        <f ca="1"/>
        <v>0.5</v>
      </c>
      <c r="E128" s="31">
        <f ca="1"/>
        <v>1</v>
      </c>
      <c r="F128" s="31">
        <f ca="1"/>
        <v>14.747651848983457</v>
      </c>
      <c r="G128" s="31">
        <f ca="1"/>
        <v>292.58543252599304</v>
      </c>
      <c r="H128" s="31">
        <f ca="1"/>
        <v>19.839458886206398</v>
      </c>
      <c r="I128" s="31" t="str">
        <f ca="1"/>
        <v>Validation</v>
      </c>
      <c r="J128" s="34">
        <f ca="1"/>
        <v>0.99469078288247514</v>
      </c>
      <c r="K128" s="31"/>
      <c r="L128" s="31"/>
      <c r="M128" s="32"/>
      <c r="N128" s="31"/>
      <c r="O128" s="33">
        <f ca="1"/>
        <v>292.58543252599304</v>
      </c>
      <c r="P128" s="31">
        <f ca="1"/>
        <v>295.22106480128184</v>
      </c>
      <c r="Q128" s="31" t="str">
        <f ca="1"/>
        <v>Validation</v>
      </c>
      <c r="R128" s="31">
        <f ca="1"/>
        <v>0.9008077581082754</v>
      </c>
    </row>
    <row r="129" spans="1:18" x14ac:dyDescent="0.3">
      <c r="A129" s="33" t="str">
        <f ca="1"/>
        <v>RT24</v>
      </c>
      <c r="B129" s="31">
        <f ca="1"/>
        <v>170</v>
      </c>
      <c r="C129" s="31" t="str">
        <f ca="1"/>
        <v>Melting</v>
      </c>
      <c r="D129" s="31">
        <f ca="1"/>
        <v>0.5</v>
      </c>
      <c r="E129" s="31">
        <f ca="1"/>
        <v>3</v>
      </c>
      <c r="F129" s="31">
        <f ca="1"/>
        <v>12.827573007786603</v>
      </c>
      <c r="G129" s="31">
        <f ca="1"/>
        <v>256.02550949111617</v>
      </c>
      <c r="H129" s="31">
        <f ca="1"/>
        <v>19.958998427504827</v>
      </c>
      <c r="I129" s="31" t="str">
        <f ca="1"/>
        <v>Validation</v>
      </c>
      <c r="J129" s="34">
        <f ca="1"/>
        <v>0.3655773562853768</v>
      </c>
      <c r="K129" s="31"/>
      <c r="L129" s="31"/>
      <c r="M129" s="32"/>
      <c r="N129" s="31"/>
      <c r="O129" s="33">
        <f ca="1"/>
        <v>256.02550949111617</v>
      </c>
      <c r="P129" s="31">
        <f ca="1"/>
        <v>256.78459194410499</v>
      </c>
      <c r="Q129" s="31" t="str">
        <f ca="1"/>
        <v>Validation</v>
      </c>
      <c r="R129" s="31">
        <f ca="1"/>
        <v>0.2964870393179162</v>
      </c>
    </row>
    <row r="130" spans="1:18" x14ac:dyDescent="0.3">
      <c r="A130" s="33" t="str">
        <f ca="1"/>
        <v>RT8</v>
      </c>
      <c r="B130" s="31">
        <f ca="1"/>
        <v>170</v>
      </c>
      <c r="C130" s="31" t="str">
        <f ca="1"/>
        <v>Solidification</v>
      </c>
      <c r="D130" s="31">
        <f ca="1"/>
        <v>0.5</v>
      </c>
      <c r="E130" s="31">
        <f ca="1"/>
        <v>1</v>
      </c>
      <c r="F130" s="31">
        <f ca="1"/>
        <v>9.9350536485328842</v>
      </c>
      <c r="G130" s="31">
        <f ca="1"/>
        <v>186.1133247973641</v>
      </c>
      <c r="H130" s="31">
        <f ca="1"/>
        <v>18.732996456928802</v>
      </c>
      <c r="I130" s="31" t="str">
        <f ca="1"/>
        <v>Validation</v>
      </c>
      <c r="J130" s="34">
        <f ca="1"/>
        <v>0.24548891037089005</v>
      </c>
      <c r="K130" s="31"/>
      <c r="L130" s="31"/>
      <c r="M130" s="32"/>
      <c r="N130" s="31"/>
      <c r="O130" s="33">
        <f ca="1"/>
        <v>186.1133247973641</v>
      </c>
      <c r="P130" s="31">
        <f ca="1"/>
        <v>198.88163532826479</v>
      </c>
      <c r="Q130" s="31" t="str">
        <f ca="1"/>
        <v>Validation</v>
      </c>
      <c r="R130" s="31">
        <f ca="1"/>
        <v>6.8605031610727147</v>
      </c>
    </row>
    <row r="131" spans="1:18" x14ac:dyDescent="0.3">
      <c r="A131" s="33" t="str">
        <f ca="1"/>
        <v>RT8</v>
      </c>
      <c r="B131" s="31">
        <f ca="1"/>
        <v>170</v>
      </c>
      <c r="C131" s="31" t="str">
        <f ca="1"/>
        <v>Melting</v>
      </c>
      <c r="D131" s="31">
        <f ca="1"/>
        <v>1</v>
      </c>
      <c r="E131" s="31">
        <f ca="1"/>
        <v>1</v>
      </c>
      <c r="F131" s="31">
        <f ca="1"/>
        <v>7.7868000000008877</v>
      </c>
      <c r="G131" s="31">
        <f ca="1"/>
        <v>134.81040000000056</v>
      </c>
      <c r="H131" s="31">
        <f ca="1"/>
        <v>17.312683002001489</v>
      </c>
      <c r="I131" s="31" t="str">
        <f ca="1"/>
        <v>Validation</v>
      </c>
      <c r="J131" s="34">
        <f ca="1"/>
        <v>0.6447690496288131</v>
      </c>
      <c r="K131" s="31"/>
      <c r="L131" s="31"/>
      <c r="M131" s="32"/>
      <c r="N131" s="31"/>
      <c r="O131" s="33">
        <f ca="1"/>
        <v>134.81040000000056</v>
      </c>
      <c r="P131" s="31">
        <f ca="1"/>
        <v>155.87751941359664</v>
      </c>
      <c r="Q131" s="31" t="str">
        <f ca="1"/>
        <v>Validation</v>
      </c>
      <c r="R131" s="31">
        <f ca="1"/>
        <v>15.627221203702387</v>
      </c>
    </row>
    <row r="132" spans="1:18" x14ac:dyDescent="0.3">
      <c r="A132" s="33" t="str">
        <f ca="1"/>
        <v>RT11</v>
      </c>
      <c r="B132" s="31">
        <f ca="1"/>
        <v>170</v>
      </c>
      <c r="C132" s="31" t="str">
        <f ca="1"/>
        <v>Solidification</v>
      </c>
      <c r="D132" s="31">
        <f ca="1"/>
        <v>1</v>
      </c>
      <c r="E132" s="31">
        <f ca="1"/>
        <v>1</v>
      </c>
      <c r="F132" s="31">
        <f ca="1"/>
        <v>11.990650156666428</v>
      </c>
      <c r="G132" s="31">
        <f ca="1"/>
        <v>261.17692526275397</v>
      </c>
      <c r="H132" s="31">
        <f ca="1"/>
        <v>21.781715073852585</v>
      </c>
      <c r="I132" s="31" t="str">
        <f ca="1"/>
        <v>Validation</v>
      </c>
      <c r="J132" s="34">
        <f ca="1"/>
        <v>0.98964371164852116</v>
      </c>
      <c r="K132" s="31"/>
      <c r="L132" s="31"/>
      <c r="M132" s="32"/>
      <c r="N132" s="31"/>
      <c r="O132" s="33">
        <f ca="1"/>
        <v>261.17692526275397</v>
      </c>
      <c r="P132" s="31">
        <f ca="1"/>
        <v>240.03092445898235</v>
      </c>
      <c r="Q132" s="31" t="str">
        <f ca="1"/>
        <v>Validation</v>
      </c>
      <c r="R132" s="31">
        <f ca="1"/>
        <v>8.0964276543564964</v>
      </c>
    </row>
    <row r="133" spans="1:18" x14ac:dyDescent="0.3">
      <c r="A133" s="33" t="str">
        <f ca="1"/>
        <v>RT8</v>
      </c>
      <c r="B133" s="31">
        <f ca="1"/>
        <v>170</v>
      </c>
      <c r="C133" s="31" t="str">
        <f ca="1"/>
        <v>Solidification</v>
      </c>
      <c r="D133" s="31">
        <f ca="1"/>
        <v>1</v>
      </c>
      <c r="E133" s="31">
        <f ca="1"/>
        <v>3</v>
      </c>
      <c r="F133" s="31">
        <f ca="1"/>
        <v>11.346010588618963</v>
      </c>
      <c r="G133" s="31">
        <f ca="1"/>
        <v>205.62869365733505</v>
      </c>
      <c r="H133" s="31">
        <f ca="1"/>
        <v>18.123435726703669</v>
      </c>
      <c r="I133" s="31" t="str">
        <f ca="1"/>
        <v>Validation</v>
      </c>
      <c r="J133" s="34">
        <f ca="1"/>
        <v>0.44215822825690787</v>
      </c>
      <c r="K133" s="31"/>
      <c r="L133" s="31"/>
      <c r="M133" s="32"/>
      <c r="N133" s="31"/>
      <c r="O133" s="33">
        <f ca="1"/>
        <v>205.62869365733505</v>
      </c>
      <c r="P133" s="31">
        <f ca="1"/>
        <v>227.12641724381311</v>
      </c>
      <c r="Q133" s="31" t="str">
        <f ca="1"/>
        <v>Validation</v>
      </c>
      <c r="R133" s="31">
        <f ca="1"/>
        <v>10.454632183921968</v>
      </c>
    </row>
    <row r="134" spans="1:18" x14ac:dyDescent="0.3">
      <c r="A134" s="33" t="str">
        <f ca="1"/>
        <v>RT24</v>
      </c>
      <c r="B134" s="31">
        <f ca="1"/>
        <v>170</v>
      </c>
      <c r="C134" s="31" t="str">
        <f ca="1"/>
        <v>Solidification</v>
      </c>
      <c r="D134" s="31">
        <f ca="1"/>
        <v>1</v>
      </c>
      <c r="E134" s="31">
        <f ca="1"/>
        <v>1</v>
      </c>
      <c r="F134" s="31">
        <f ca="1"/>
        <v>19.086000000000098</v>
      </c>
      <c r="G134" s="31">
        <f ca="1"/>
        <v>387.39479999999998</v>
      </c>
      <c r="H134" s="31">
        <f ca="1"/>
        <v>20.297327884313002</v>
      </c>
      <c r="I134" s="31" t="str">
        <f ca="1"/>
        <v>Validation</v>
      </c>
      <c r="J134" s="34">
        <f ca="1"/>
        <v>0.50621213768869933</v>
      </c>
      <c r="K134" s="31"/>
      <c r="L134" s="31"/>
      <c r="M134" s="32"/>
      <c r="N134" s="31"/>
      <c r="O134" s="33">
        <f ca="1"/>
        <v>387.39479999999998</v>
      </c>
      <c r="P134" s="31">
        <f ca="1"/>
        <v>382.0668741366905</v>
      </c>
      <c r="Q134" s="31" t="str">
        <f ca="1"/>
        <v>Validation</v>
      </c>
      <c r="R134" s="31">
        <f ca="1"/>
        <v>1.3753219876233431</v>
      </c>
    </row>
    <row r="135" spans="1:18" x14ac:dyDescent="0.3">
      <c r="A135" s="33"/>
      <c r="B135" s="31"/>
      <c r="C135" s="31"/>
      <c r="D135" s="31"/>
      <c r="E135" s="31"/>
      <c r="F135" s="31"/>
      <c r="G135" s="31"/>
      <c r="H135" s="31"/>
      <c r="I135" s="31"/>
      <c r="J135" s="34"/>
      <c r="K135" s="31"/>
      <c r="L135" s="31"/>
      <c r="M135" s="32"/>
      <c r="N135" s="31"/>
      <c r="O135" s="33"/>
      <c r="P135" s="31"/>
      <c r="Q135" s="31"/>
      <c r="R135" s="31"/>
    </row>
    <row r="136" spans="1:18" x14ac:dyDescent="0.3">
      <c r="A136" s="33"/>
      <c r="B136" s="31"/>
      <c r="C136" s="31"/>
      <c r="D136" s="31"/>
      <c r="E136" s="31"/>
      <c r="F136" s="31"/>
      <c r="G136" s="31"/>
      <c r="H136" s="31"/>
      <c r="I136" s="31"/>
      <c r="J136" s="34"/>
      <c r="K136" s="31"/>
      <c r="L136" s="31"/>
      <c r="M136" s="32"/>
      <c r="N136" s="31"/>
      <c r="O136" s="33"/>
      <c r="P136" s="31"/>
      <c r="Q136" s="31"/>
      <c r="R136" s="31"/>
    </row>
    <row r="137" spans="1:18" x14ac:dyDescent="0.3">
      <c r="A137" s="33"/>
      <c r="B137" s="31"/>
      <c r="C137" s="31"/>
      <c r="D137" s="31"/>
      <c r="E137" s="31"/>
      <c r="F137" s="31"/>
      <c r="G137" s="31"/>
      <c r="H137" s="31"/>
      <c r="I137" s="31"/>
      <c r="J137" s="34"/>
      <c r="K137" s="31"/>
      <c r="L137" s="31"/>
      <c r="M137" s="32"/>
      <c r="N137" s="31"/>
      <c r="O137" s="33"/>
      <c r="P137" s="31"/>
      <c r="Q137" s="31"/>
      <c r="R137" s="31"/>
    </row>
    <row r="138" spans="1:18" x14ac:dyDescent="0.3">
      <c r="A138" s="33"/>
      <c r="B138" s="31"/>
      <c r="C138" s="31"/>
      <c r="D138" s="31"/>
      <c r="E138" s="31"/>
      <c r="F138" s="31"/>
      <c r="G138" s="31"/>
      <c r="H138" s="31"/>
      <c r="I138" s="31"/>
      <c r="J138" s="34"/>
      <c r="K138" s="31"/>
      <c r="L138" s="31"/>
      <c r="M138" s="32"/>
      <c r="N138" s="31"/>
      <c r="O138" s="33"/>
      <c r="P138" s="31"/>
      <c r="Q138" s="31"/>
      <c r="R138" s="31"/>
    </row>
    <row r="139" spans="1:18" x14ac:dyDescent="0.3">
      <c r="A139" s="33"/>
      <c r="B139" s="31"/>
      <c r="C139" s="31"/>
      <c r="D139" s="31"/>
      <c r="E139" s="31"/>
      <c r="F139" s="31"/>
      <c r="G139" s="31"/>
      <c r="H139" s="31"/>
      <c r="I139" s="31"/>
      <c r="J139" s="34"/>
      <c r="K139" s="31"/>
      <c r="L139" s="31"/>
      <c r="M139" s="32"/>
      <c r="N139" s="31"/>
      <c r="O139" s="33"/>
      <c r="P139" s="31"/>
      <c r="Q139" s="31"/>
      <c r="R139" s="31"/>
    </row>
    <row r="140" spans="1:18" x14ac:dyDescent="0.3">
      <c r="A140" s="33"/>
      <c r="B140" s="31"/>
      <c r="C140" s="31"/>
      <c r="D140" s="31"/>
      <c r="E140" s="31"/>
      <c r="F140" s="31"/>
      <c r="G140" s="31"/>
      <c r="H140" s="31"/>
      <c r="I140" s="31"/>
      <c r="J140" s="34"/>
      <c r="K140" s="31"/>
      <c r="L140" s="31"/>
      <c r="M140" s="32"/>
      <c r="N140" s="31"/>
      <c r="O140" s="33"/>
      <c r="P140" s="31"/>
      <c r="Q140" s="31"/>
      <c r="R140" s="31"/>
    </row>
    <row r="141" spans="1:18" x14ac:dyDescent="0.3">
      <c r="A141" s="33"/>
      <c r="B141" s="31"/>
      <c r="C141" s="31"/>
      <c r="D141" s="31"/>
      <c r="E141" s="31"/>
      <c r="F141" s="31"/>
      <c r="G141" s="31"/>
      <c r="H141" s="31"/>
      <c r="I141" s="31"/>
      <c r="J141" s="34"/>
      <c r="K141" s="31"/>
      <c r="L141" s="31"/>
      <c r="M141" s="32"/>
      <c r="N141" s="31"/>
      <c r="O141" s="33"/>
      <c r="P141" s="31"/>
      <c r="Q141" s="31"/>
      <c r="R141" s="31"/>
    </row>
    <row r="142" spans="1:18" x14ac:dyDescent="0.3">
      <c r="A142" s="33"/>
      <c r="B142" s="31"/>
      <c r="C142" s="31"/>
      <c r="D142" s="31"/>
      <c r="E142" s="31"/>
      <c r="F142" s="31"/>
      <c r="G142" s="31"/>
      <c r="H142" s="31"/>
      <c r="I142" s="31"/>
      <c r="J142" s="34"/>
      <c r="K142" s="31"/>
      <c r="L142" s="31"/>
      <c r="M142" s="32"/>
      <c r="N142" s="31"/>
      <c r="O142" s="33"/>
      <c r="P142" s="31"/>
      <c r="Q142" s="31"/>
      <c r="R142" s="31"/>
    </row>
    <row r="143" spans="1:18" x14ac:dyDescent="0.3">
      <c r="A143" s="33"/>
      <c r="B143" s="31"/>
      <c r="C143" s="31"/>
      <c r="D143" s="31"/>
      <c r="E143" s="31"/>
      <c r="F143" s="31"/>
      <c r="G143" s="31"/>
      <c r="H143" s="31"/>
      <c r="I143" s="31"/>
      <c r="J143" s="34"/>
      <c r="K143" s="31"/>
      <c r="L143" s="31"/>
      <c r="M143" s="32"/>
      <c r="N143" s="31"/>
      <c r="O143" s="33"/>
      <c r="P143" s="31"/>
      <c r="Q143" s="31"/>
      <c r="R143" s="31"/>
    </row>
    <row r="144" spans="1:18" x14ac:dyDescent="0.3">
      <c r="A144" s="33"/>
      <c r="B144" s="31"/>
      <c r="C144" s="31"/>
      <c r="D144" s="31"/>
      <c r="E144" s="31"/>
      <c r="F144" s="31"/>
      <c r="G144" s="31"/>
      <c r="H144" s="31"/>
      <c r="I144" s="31"/>
      <c r="J144" s="34"/>
      <c r="K144" s="31"/>
      <c r="L144" s="31"/>
      <c r="M144" s="32"/>
      <c r="N144" s="31"/>
      <c r="O144" s="33"/>
      <c r="P144" s="31"/>
      <c r="Q144" s="31"/>
      <c r="R144" s="31"/>
    </row>
    <row r="145" spans="1:18" x14ac:dyDescent="0.3">
      <c r="A145" s="33"/>
      <c r="B145" s="31"/>
      <c r="C145" s="31"/>
      <c r="D145" s="31"/>
      <c r="E145" s="31"/>
      <c r="F145" s="31"/>
      <c r="G145" s="31"/>
      <c r="H145" s="31"/>
      <c r="I145" s="31"/>
      <c r="J145" s="34"/>
      <c r="K145" s="31"/>
      <c r="L145" s="31"/>
      <c r="M145" s="32"/>
      <c r="N145" s="31"/>
      <c r="O145" s="33"/>
      <c r="P145" s="31"/>
      <c r="Q145" s="31"/>
      <c r="R145" s="31"/>
    </row>
    <row r="146" spans="1:18" x14ac:dyDescent="0.3">
      <c r="A146" s="33"/>
      <c r="B146" s="31"/>
      <c r="C146" s="31"/>
      <c r="D146" s="31"/>
      <c r="E146" s="31"/>
      <c r="F146" s="31"/>
      <c r="G146" s="31"/>
      <c r="H146" s="31"/>
      <c r="I146" s="31"/>
      <c r="J146" s="34"/>
      <c r="K146" s="31"/>
      <c r="L146" s="31"/>
      <c r="M146" s="32"/>
      <c r="N146" s="31"/>
      <c r="O146" s="33"/>
      <c r="P146" s="31"/>
      <c r="Q146" s="31"/>
      <c r="R146" s="31"/>
    </row>
    <row r="147" spans="1:18" x14ac:dyDescent="0.3">
      <c r="A147" s="33"/>
      <c r="B147" s="31"/>
      <c r="C147" s="31"/>
      <c r="D147" s="31"/>
      <c r="E147" s="31"/>
      <c r="F147" s="31"/>
      <c r="G147" s="31"/>
      <c r="H147" s="31"/>
      <c r="I147" s="31"/>
      <c r="J147" s="34"/>
      <c r="K147" s="31"/>
      <c r="L147" s="31"/>
      <c r="M147" s="32"/>
      <c r="N147" s="31"/>
      <c r="O147" s="33"/>
      <c r="P147" s="31"/>
      <c r="Q147" s="31"/>
      <c r="R147" s="31"/>
    </row>
    <row r="148" spans="1:18" x14ac:dyDescent="0.3">
      <c r="A148" s="33"/>
      <c r="B148" s="31"/>
      <c r="C148" s="31"/>
      <c r="D148" s="31"/>
      <c r="E148" s="31"/>
      <c r="F148" s="31"/>
      <c r="G148" s="31"/>
      <c r="H148" s="31"/>
      <c r="I148" s="31"/>
      <c r="J148" s="34"/>
      <c r="K148" s="31"/>
      <c r="L148" s="31"/>
      <c r="M148" s="32"/>
      <c r="N148" s="31"/>
      <c r="O148" s="33"/>
      <c r="P148" s="31"/>
      <c r="Q148" s="31"/>
      <c r="R148" s="31"/>
    </row>
    <row r="149" spans="1:18" x14ac:dyDescent="0.3">
      <c r="A149" s="33"/>
      <c r="B149" s="31"/>
      <c r="C149" s="31"/>
      <c r="D149" s="31"/>
      <c r="E149" s="31"/>
      <c r="F149" s="31"/>
      <c r="G149" s="31"/>
      <c r="H149" s="31"/>
      <c r="I149" s="31"/>
      <c r="J149" s="34"/>
      <c r="K149" s="31"/>
      <c r="L149" s="31"/>
      <c r="M149" s="32"/>
      <c r="N149" s="31"/>
      <c r="O149" s="33"/>
      <c r="P149" s="31"/>
      <c r="Q149" s="31"/>
      <c r="R149" s="31"/>
    </row>
    <row r="150" spans="1:18" x14ac:dyDescent="0.3">
      <c r="A150" s="33"/>
      <c r="B150" s="31"/>
      <c r="C150" s="31"/>
      <c r="D150" s="31"/>
      <c r="E150" s="31"/>
      <c r="F150" s="31"/>
      <c r="G150" s="31"/>
      <c r="H150" s="31"/>
      <c r="I150" s="31"/>
      <c r="J150" s="34"/>
      <c r="K150" s="31"/>
      <c r="L150" s="31"/>
      <c r="M150" s="32"/>
      <c r="N150" s="31"/>
      <c r="O150" s="33"/>
      <c r="P150" s="31"/>
      <c r="Q150" s="31"/>
      <c r="R150" s="31"/>
    </row>
    <row r="151" spans="1:18" x14ac:dyDescent="0.3">
      <c r="A151" s="33"/>
      <c r="B151" s="31"/>
      <c r="C151" s="31"/>
      <c r="D151" s="31"/>
      <c r="E151" s="31"/>
      <c r="F151" s="31"/>
      <c r="G151" s="31"/>
      <c r="H151" s="31"/>
      <c r="I151" s="31"/>
      <c r="J151" s="34"/>
      <c r="K151" s="31"/>
      <c r="L151" s="31"/>
      <c r="M151" s="32"/>
      <c r="N151" s="31"/>
      <c r="O151" s="33"/>
      <c r="P151" s="31"/>
      <c r="Q151" s="31"/>
      <c r="R151" s="31"/>
    </row>
    <row r="152" spans="1:18" x14ac:dyDescent="0.3">
      <c r="A152" s="33"/>
      <c r="B152" s="31"/>
      <c r="C152" s="31"/>
      <c r="D152" s="31"/>
      <c r="E152" s="31"/>
      <c r="F152" s="31"/>
      <c r="G152" s="31"/>
      <c r="H152" s="31"/>
      <c r="I152" s="31"/>
      <c r="J152" s="34"/>
      <c r="K152" s="31"/>
      <c r="L152" s="31"/>
      <c r="M152" s="32"/>
      <c r="N152" s="31"/>
      <c r="O152" s="33"/>
      <c r="P152" s="31"/>
      <c r="Q152" s="31"/>
      <c r="R152" s="31"/>
    </row>
    <row r="153" spans="1:18" x14ac:dyDescent="0.3">
      <c r="A153" s="33"/>
      <c r="B153" s="31"/>
      <c r="C153" s="31"/>
      <c r="D153" s="31"/>
      <c r="E153" s="31"/>
      <c r="F153" s="31"/>
      <c r="G153" s="31"/>
      <c r="H153" s="31"/>
      <c r="I153" s="31"/>
      <c r="J153" s="34"/>
      <c r="K153" s="31"/>
      <c r="L153" s="31"/>
      <c r="M153" s="32"/>
      <c r="N153" s="31"/>
      <c r="O153" s="33"/>
      <c r="P153" s="31"/>
      <c r="Q153" s="31"/>
      <c r="R153" s="31"/>
    </row>
    <row r="154" spans="1:18" x14ac:dyDescent="0.3">
      <c r="A154" s="33"/>
      <c r="B154" s="31"/>
      <c r="C154" s="31"/>
      <c r="D154" s="31"/>
      <c r="E154" s="31"/>
      <c r="F154" s="31"/>
      <c r="G154" s="31"/>
      <c r="H154" s="31"/>
      <c r="I154" s="31"/>
      <c r="J154" s="34"/>
      <c r="K154" s="31"/>
      <c r="L154" s="31"/>
      <c r="M154" s="32"/>
      <c r="N154" s="31"/>
      <c r="O154" s="33"/>
      <c r="P154" s="31"/>
      <c r="Q154" s="31"/>
      <c r="R154" s="31"/>
    </row>
    <row r="155" spans="1:18" x14ac:dyDescent="0.3">
      <c r="A155" s="33"/>
      <c r="B155" s="31"/>
      <c r="C155" s="31"/>
      <c r="D155" s="31"/>
      <c r="E155" s="31"/>
      <c r="F155" s="31"/>
      <c r="G155" s="31"/>
      <c r="H155" s="31"/>
      <c r="I155" s="31"/>
      <c r="J155" s="34"/>
      <c r="K155" s="31"/>
      <c r="L155" s="31"/>
      <c r="M155" s="32"/>
      <c r="N155" s="31"/>
      <c r="O155" s="33"/>
      <c r="P155" s="31"/>
      <c r="Q155" s="31"/>
      <c r="R155" s="31"/>
    </row>
    <row r="156" spans="1:18" x14ac:dyDescent="0.3">
      <c r="A156" s="33"/>
      <c r="B156" s="31"/>
      <c r="C156" s="31"/>
      <c r="D156" s="31"/>
      <c r="E156" s="31"/>
      <c r="F156" s="31"/>
      <c r="G156" s="31"/>
      <c r="H156" s="31"/>
      <c r="I156" s="31"/>
      <c r="J156" s="34"/>
      <c r="K156" s="31"/>
      <c r="L156" s="31"/>
      <c r="M156" s="32"/>
      <c r="N156" s="31"/>
      <c r="O156" s="33"/>
      <c r="P156" s="31"/>
      <c r="Q156" s="31"/>
      <c r="R156" s="31"/>
    </row>
    <row r="157" spans="1:18" x14ac:dyDescent="0.3">
      <c r="A157" s="33"/>
      <c r="B157" s="31"/>
      <c r="C157" s="31"/>
      <c r="D157" s="31"/>
      <c r="E157" s="31"/>
      <c r="F157" s="31"/>
      <c r="G157" s="31"/>
      <c r="H157" s="31"/>
      <c r="I157" s="31"/>
      <c r="J157" s="34"/>
      <c r="K157" s="31"/>
      <c r="L157" s="31"/>
      <c r="M157" s="32"/>
      <c r="N157" s="31"/>
      <c r="O157" s="33"/>
      <c r="P157" s="31"/>
      <c r="Q157" s="31"/>
      <c r="R157" s="31"/>
    </row>
    <row r="158" spans="1:18" x14ac:dyDescent="0.3">
      <c r="A158" s="33"/>
      <c r="B158" s="31"/>
      <c r="C158" s="31"/>
      <c r="D158" s="31"/>
      <c r="E158" s="31"/>
      <c r="F158" s="31"/>
      <c r="G158" s="31"/>
      <c r="H158" s="31"/>
      <c r="I158" s="31"/>
      <c r="J158" s="34"/>
      <c r="K158" s="31"/>
      <c r="L158" s="31"/>
      <c r="M158" s="32"/>
      <c r="N158" s="31"/>
      <c r="O158" s="33"/>
      <c r="P158" s="31"/>
      <c r="Q158" s="31"/>
      <c r="R158" s="31"/>
    </row>
    <row r="159" spans="1:18" x14ac:dyDescent="0.3">
      <c r="A159" s="33"/>
      <c r="B159" s="31"/>
      <c r="C159" s="31"/>
      <c r="D159" s="31"/>
      <c r="E159" s="31"/>
      <c r="F159" s="31"/>
      <c r="G159" s="31"/>
      <c r="H159" s="31"/>
      <c r="I159" s="31"/>
      <c r="J159" s="34"/>
      <c r="K159" s="31"/>
      <c r="L159" s="31"/>
      <c r="M159" s="32"/>
      <c r="N159" s="31"/>
      <c r="O159" s="33"/>
      <c r="P159" s="31"/>
      <c r="Q159" s="31"/>
      <c r="R159" s="31"/>
    </row>
    <row r="160" spans="1:18" x14ac:dyDescent="0.3">
      <c r="A160" s="33"/>
      <c r="B160" s="31"/>
      <c r="C160" s="31"/>
      <c r="D160" s="31"/>
      <c r="E160" s="31"/>
      <c r="F160" s="31"/>
      <c r="G160" s="31"/>
      <c r="H160" s="31"/>
      <c r="I160" s="31"/>
      <c r="J160" s="34"/>
      <c r="K160" s="31"/>
      <c r="L160" s="31"/>
      <c r="M160" s="32"/>
      <c r="N160" s="31"/>
      <c r="O160" s="33"/>
      <c r="P160" s="31"/>
      <c r="Q160" s="31"/>
      <c r="R160" s="31"/>
    </row>
    <row r="161" spans="1:18" x14ac:dyDescent="0.3">
      <c r="A161" s="33"/>
      <c r="B161" s="31"/>
      <c r="C161" s="31"/>
      <c r="D161" s="31"/>
      <c r="E161" s="31"/>
      <c r="F161" s="31"/>
      <c r="G161" s="31"/>
      <c r="H161" s="31"/>
      <c r="I161" s="31"/>
      <c r="J161" s="34"/>
      <c r="K161" s="31"/>
      <c r="L161" s="31"/>
      <c r="M161" s="32"/>
      <c r="N161" s="31"/>
      <c r="O161" s="33"/>
      <c r="P161" s="31"/>
      <c r="Q161" s="31"/>
      <c r="R161" s="31"/>
    </row>
    <row r="162" spans="1:18" x14ac:dyDescent="0.3">
      <c r="A162" s="33"/>
      <c r="B162" s="31"/>
      <c r="C162" s="31"/>
      <c r="D162" s="31"/>
      <c r="E162" s="31"/>
      <c r="F162" s="31"/>
      <c r="G162" s="31"/>
      <c r="H162" s="31"/>
      <c r="I162" s="31"/>
      <c r="J162" s="34"/>
      <c r="K162" s="31"/>
      <c r="L162" s="31"/>
      <c r="M162" s="32"/>
      <c r="N162" s="31"/>
      <c r="O162" s="33"/>
      <c r="P162" s="31"/>
      <c r="Q162" s="31"/>
      <c r="R162" s="31"/>
    </row>
    <row r="163" spans="1:18" x14ac:dyDescent="0.3">
      <c r="A163" s="33"/>
      <c r="B163" s="31"/>
      <c r="C163" s="31"/>
      <c r="D163" s="31"/>
      <c r="E163" s="31"/>
      <c r="F163" s="31"/>
      <c r="G163" s="31"/>
      <c r="H163" s="31"/>
      <c r="I163" s="31"/>
      <c r="J163" s="34"/>
      <c r="K163" s="31"/>
      <c r="L163" s="31"/>
      <c r="M163" s="32"/>
      <c r="N163" s="31"/>
      <c r="O163" s="33"/>
      <c r="P163" s="31"/>
      <c r="Q163" s="31"/>
      <c r="R163" s="31"/>
    </row>
    <row r="164" spans="1:18" x14ac:dyDescent="0.3">
      <c r="A164" s="33"/>
      <c r="B164" s="31"/>
      <c r="C164" s="31"/>
      <c r="D164" s="31"/>
      <c r="E164" s="31"/>
      <c r="F164" s="31"/>
      <c r="G164" s="31"/>
      <c r="H164" s="31"/>
      <c r="I164" s="31"/>
      <c r="J164" s="34"/>
      <c r="K164" s="31"/>
      <c r="L164" s="31"/>
      <c r="M164" s="32"/>
      <c r="N164" s="31"/>
      <c r="O164" s="33"/>
      <c r="P164" s="31"/>
      <c r="Q164" s="31"/>
      <c r="R164" s="31"/>
    </row>
    <row r="165" spans="1:18" x14ac:dyDescent="0.3">
      <c r="A165" s="33"/>
      <c r="B165" s="31"/>
      <c r="C165" s="31"/>
      <c r="D165" s="31"/>
      <c r="E165" s="31"/>
      <c r="F165" s="31"/>
      <c r="G165" s="31"/>
      <c r="H165" s="31"/>
      <c r="I165" s="31"/>
      <c r="J165" s="34"/>
      <c r="K165" s="31"/>
      <c r="L165" s="31"/>
      <c r="M165" s="32"/>
      <c r="N165" s="31"/>
      <c r="O165" s="33"/>
      <c r="P165" s="31"/>
      <c r="Q165" s="31"/>
      <c r="R165" s="31"/>
    </row>
    <row r="166" spans="1:18" x14ac:dyDescent="0.3">
      <c r="A166" s="33"/>
      <c r="B166" s="31"/>
      <c r="C166" s="31"/>
      <c r="D166" s="31"/>
      <c r="E166" s="31"/>
      <c r="F166" s="31"/>
      <c r="G166" s="31"/>
      <c r="H166" s="31"/>
      <c r="I166" s="31"/>
      <c r="J166" s="34"/>
      <c r="K166" s="31"/>
      <c r="L166" s="31"/>
      <c r="M166" s="32"/>
      <c r="N166" s="31"/>
      <c r="O166" s="33"/>
      <c r="P166" s="31"/>
      <c r="Q166" s="31"/>
      <c r="R166" s="31"/>
    </row>
    <row r="167" spans="1:18" x14ac:dyDescent="0.3">
      <c r="A167" s="33"/>
      <c r="B167" s="31"/>
      <c r="C167" s="31"/>
      <c r="D167" s="31"/>
      <c r="E167" s="31"/>
      <c r="F167" s="31"/>
      <c r="G167" s="31"/>
      <c r="H167" s="31"/>
      <c r="I167" s="31"/>
      <c r="J167" s="34"/>
      <c r="K167" s="31"/>
      <c r="L167" s="31"/>
      <c r="M167" s="32"/>
      <c r="N167" s="31"/>
      <c r="O167" s="33"/>
      <c r="P167" s="31"/>
      <c r="Q167" s="31"/>
      <c r="R167" s="31"/>
    </row>
    <row r="168" spans="1:18" x14ac:dyDescent="0.3">
      <c r="A168" s="33"/>
      <c r="B168" s="31"/>
      <c r="C168" s="31"/>
      <c r="D168" s="31"/>
      <c r="E168" s="31"/>
      <c r="F168" s="31"/>
      <c r="G168" s="31"/>
      <c r="H168" s="31"/>
      <c r="I168" s="31"/>
      <c r="J168" s="34"/>
      <c r="K168" s="31"/>
      <c r="L168" s="31"/>
      <c r="M168" s="32"/>
      <c r="N168" s="31"/>
      <c r="O168" s="33"/>
      <c r="P168" s="31"/>
      <c r="Q168" s="31"/>
      <c r="R168" s="31"/>
    </row>
    <row r="169" spans="1:18" x14ac:dyDescent="0.3">
      <c r="A169" s="33"/>
      <c r="B169" s="31"/>
      <c r="C169" s="31"/>
      <c r="D169" s="31"/>
      <c r="E169" s="31"/>
      <c r="F169" s="31"/>
      <c r="G169" s="31"/>
      <c r="H169" s="31"/>
      <c r="I169" s="31"/>
      <c r="J169" s="34"/>
      <c r="K169" s="31"/>
      <c r="L169" s="31"/>
      <c r="M169" s="32"/>
      <c r="N169" s="31"/>
      <c r="O169" s="33"/>
      <c r="P169" s="31"/>
      <c r="Q169" s="31"/>
      <c r="R169" s="31"/>
    </row>
    <row r="170" spans="1:18" x14ac:dyDescent="0.3">
      <c r="A170" s="33"/>
      <c r="B170" s="31"/>
      <c r="C170" s="31"/>
      <c r="D170" s="31"/>
      <c r="E170" s="31"/>
      <c r="F170" s="31"/>
      <c r="G170" s="31"/>
      <c r="H170" s="31"/>
      <c r="I170" s="31"/>
      <c r="J170" s="34"/>
      <c r="K170" s="31"/>
      <c r="L170" s="31"/>
      <c r="M170" s="32"/>
      <c r="N170" s="31"/>
      <c r="O170" s="33"/>
      <c r="P170" s="31"/>
      <c r="Q170" s="31"/>
      <c r="R170" s="31"/>
    </row>
    <row r="171" spans="1:18" x14ac:dyDescent="0.3">
      <c r="A171" s="33"/>
      <c r="B171" s="31"/>
      <c r="C171" s="31"/>
      <c r="D171" s="31"/>
      <c r="E171" s="31"/>
      <c r="F171" s="31"/>
      <c r="G171" s="31"/>
      <c r="H171" s="31"/>
      <c r="I171" s="31"/>
      <c r="J171" s="34"/>
      <c r="K171" s="31"/>
      <c r="L171" s="31"/>
      <c r="M171" s="32"/>
      <c r="N171" s="31"/>
      <c r="O171" s="33"/>
      <c r="P171" s="31"/>
      <c r="Q171" s="31"/>
      <c r="R171" s="31"/>
    </row>
    <row r="172" spans="1:18" x14ac:dyDescent="0.3">
      <c r="A172" s="33"/>
      <c r="B172" s="31"/>
      <c r="C172" s="31"/>
      <c r="D172" s="31"/>
      <c r="E172" s="31"/>
      <c r="F172" s="31"/>
      <c r="G172" s="31"/>
      <c r="H172" s="31"/>
      <c r="I172" s="31"/>
      <c r="J172" s="34"/>
      <c r="K172" s="31"/>
      <c r="L172" s="31"/>
      <c r="M172" s="32"/>
      <c r="N172" s="31"/>
      <c r="O172" s="33"/>
      <c r="P172" s="31"/>
      <c r="Q172" s="31"/>
      <c r="R172" s="31"/>
    </row>
    <row r="173" spans="1:18" x14ac:dyDescent="0.3">
      <c r="A173" s="33"/>
      <c r="B173" s="31"/>
      <c r="C173" s="31"/>
      <c r="D173" s="31"/>
      <c r="E173" s="31"/>
      <c r="F173" s="31"/>
      <c r="G173" s="31"/>
      <c r="H173" s="31"/>
      <c r="I173" s="31"/>
      <c r="J173" s="34"/>
      <c r="K173" s="31"/>
      <c r="L173" s="31"/>
      <c r="M173" s="32"/>
      <c r="N173" s="31"/>
      <c r="O173" s="33"/>
      <c r="P173" s="31"/>
      <c r="Q173" s="31"/>
      <c r="R173" s="31"/>
    </row>
    <row r="174" spans="1:18" x14ac:dyDescent="0.3">
      <c r="A174" s="33"/>
      <c r="B174" s="31"/>
      <c r="C174" s="31"/>
      <c r="D174" s="31"/>
      <c r="E174" s="31"/>
      <c r="F174" s="31"/>
      <c r="G174" s="31"/>
      <c r="H174" s="31"/>
      <c r="I174" s="31"/>
      <c r="J174" s="34"/>
      <c r="K174" s="31"/>
      <c r="L174" s="31"/>
      <c r="M174" s="32"/>
      <c r="N174" s="31"/>
      <c r="O174" s="33"/>
      <c r="P174" s="31"/>
      <c r="Q174" s="31"/>
      <c r="R174" s="31"/>
    </row>
    <row r="175" spans="1:18" x14ac:dyDescent="0.3">
      <c r="A175" s="33"/>
      <c r="B175" s="31"/>
      <c r="C175" s="31"/>
      <c r="D175" s="31"/>
      <c r="E175" s="31"/>
      <c r="F175" s="31"/>
      <c r="G175" s="31"/>
      <c r="H175" s="31"/>
      <c r="I175" s="31"/>
      <c r="J175" s="34"/>
      <c r="K175" s="31"/>
      <c r="L175" s="31"/>
      <c r="M175" s="32"/>
      <c r="N175" s="31"/>
      <c r="O175" s="33"/>
      <c r="P175" s="31"/>
      <c r="Q175" s="31"/>
      <c r="R175" s="31"/>
    </row>
    <row r="176" spans="1:18" x14ac:dyDescent="0.3">
      <c r="A176" s="33"/>
      <c r="B176" s="31"/>
      <c r="C176" s="31"/>
      <c r="D176" s="31"/>
      <c r="E176" s="31"/>
      <c r="F176" s="31"/>
      <c r="G176" s="31"/>
      <c r="H176" s="31"/>
      <c r="I176" s="31"/>
      <c r="J176" s="34"/>
      <c r="K176" s="31"/>
      <c r="L176" s="31"/>
      <c r="M176" s="32"/>
      <c r="N176" s="31"/>
      <c r="O176" s="33"/>
      <c r="P176" s="31"/>
      <c r="Q176" s="31"/>
      <c r="R176" s="31"/>
    </row>
    <row r="177" spans="1:18" x14ac:dyDescent="0.3">
      <c r="A177" s="33"/>
      <c r="B177" s="31"/>
      <c r="C177" s="31"/>
      <c r="D177" s="31"/>
      <c r="E177" s="31"/>
      <c r="F177" s="31"/>
      <c r="G177" s="31"/>
      <c r="H177" s="31"/>
      <c r="I177" s="31"/>
      <c r="J177" s="34"/>
      <c r="K177" s="31"/>
      <c r="L177" s="31"/>
      <c r="M177" s="32"/>
      <c r="N177" s="31"/>
      <c r="O177" s="33"/>
      <c r="P177" s="31"/>
      <c r="Q177" s="31"/>
      <c r="R177" s="31"/>
    </row>
    <row r="178" spans="1:18" x14ac:dyDescent="0.3">
      <c r="A178" s="33"/>
      <c r="B178" s="31"/>
      <c r="C178" s="31"/>
      <c r="D178" s="31"/>
      <c r="E178" s="31"/>
      <c r="F178" s="31"/>
      <c r="G178" s="31"/>
      <c r="H178" s="31"/>
      <c r="I178" s="31"/>
      <c r="J178" s="34"/>
      <c r="K178" s="31"/>
      <c r="L178" s="31"/>
      <c r="M178" s="32"/>
      <c r="N178" s="31"/>
      <c r="O178" s="33"/>
      <c r="P178" s="31"/>
      <c r="Q178" s="31"/>
      <c r="R178" s="31"/>
    </row>
    <row r="179" spans="1:18" x14ac:dyDescent="0.3">
      <c r="A179" s="33"/>
      <c r="B179" s="31"/>
      <c r="C179" s="31"/>
      <c r="D179" s="31"/>
      <c r="E179" s="31"/>
      <c r="F179" s="31"/>
      <c r="G179" s="31"/>
      <c r="H179" s="31"/>
      <c r="I179" s="31"/>
      <c r="J179" s="34"/>
      <c r="K179" s="31"/>
      <c r="L179" s="31"/>
      <c r="M179" s="32"/>
      <c r="N179" s="31"/>
      <c r="O179" s="33"/>
      <c r="P179" s="31"/>
      <c r="Q179" s="31"/>
      <c r="R179" s="31"/>
    </row>
    <row r="180" spans="1:18" x14ac:dyDescent="0.3">
      <c r="A180" s="33"/>
      <c r="B180" s="31"/>
      <c r="C180" s="31"/>
      <c r="D180" s="31"/>
      <c r="E180" s="31"/>
      <c r="F180" s="31"/>
      <c r="G180" s="31"/>
      <c r="H180" s="31"/>
      <c r="I180" s="31"/>
      <c r="J180" s="34"/>
      <c r="K180" s="31"/>
      <c r="L180" s="31"/>
      <c r="M180" s="32"/>
      <c r="N180" s="31"/>
      <c r="O180" s="33"/>
      <c r="P180" s="31"/>
      <c r="Q180" s="31"/>
      <c r="R180" s="31"/>
    </row>
    <row r="181" spans="1:18" x14ac:dyDescent="0.3">
      <c r="A181" s="33"/>
      <c r="B181" s="31"/>
      <c r="C181" s="31"/>
      <c r="D181" s="31"/>
      <c r="E181" s="31"/>
      <c r="F181" s="31"/>
      <c r="G181" s="31"/>
      <c r="H181" s="31"/>
      <c r="I181" s="31"/>
      <c r="J181" s="34"/>
      <c r="K181" s="31"/>
      <c r="L181" s="31"/>
      <c r="M181" s="32"/>
      <c r="N181" s="31"/>
      <c r="O181" s="33"/>
      <c r="P181" s="31"/>
      <c r="Q181" s="31"/>
      <c r="R181" s="31"/>
    </row>
    <row r="182" spans="1:18" x14ac:dyDescent="0.3">
      <c r="A182" s="33"/>
      <c r="B182" s="31"/>
      <c r="C182" s="31"/>
      <c r="D182" s="31"/>
      <c r="E182" s="31"/>
      <c r="F182" s="31"/>
      <c r="G182" s="31"/>
      <c r="H182" s="31"/>
      <c r="I182" s="31"/>
      <c r="J182" s="34"/>
      <c r="K182" s="31"/>
      <c r="L182" s="31"/>
      <c r="M182" s="32"/>
      <c r="N182" s="31"/>
      <c r="O182" s="33"/>
      <c r="P182" s="31"/>
      <c r="Q182" s="31"/>
      <c r="R182" s="31"/>
    </row>
    <row r="183" spans="1:18" x14ac:dyDescent="0.3">
      <c r="A183" s="35"/>
      <c r="B183" s="36"/>
      <c r="C183" s="36"/>
      <c r="D183" s="36"/>
      <c r="E183" s="36"/>
      <c r="F183" s="36"/>
      <c r="G183" s="36"/>
      <c r="H183" s="36"/>
      <c r="I183" s="36"/>
      <c r="J183" s="37"/>
      <c r="K183" s="31"/>
      <c r="L183" s="31"/>
      <c r="M183" s="32"/>
      <c r="N183" s="31"/>
      <c r="O183" s="35"/>
      <c r="P183" s="36"/>
      <c r="Q183" s="36"/>
      <c r="R183" s="36"/>
    </row>
  </sheetData>
  <mergeCells count="2">
    <mergeCell ref="A1:M1"/>
    <mergeCell ref="O1:R1"/>
  </mergeCells>
  <conditionalFormatting sqref="I22:I57">
    <cfRule type="expression" dxfId="7" priority="1">
      <formula>"I$26=""Training"""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8363-4334-4F8C-81BE-1742A9EAC66C}">
  <sheetPr codeName="Hoja10"/>
  <dimension ref="A1:AA183"/>
  <sheetViews>
    <sheetView zoomScale="55" zoomScaleNormal="55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0.88671875" style="3" bestFit="1" customWidth="1"/>
    <col min="10" max="10" width="12.44140625" style="3" bestFit="1" customWidth="1"/>
    <col min="11" max="12" width="8.33203125" style="3" customWidth="1"/>
    <col min="13" max="13" width="6.44140625" style="8" customWidth="1"/>
    <col min="14" max="14" width="8.33203125" style="3" customWidth="1"/>
    <col min="15" max="15" width="14" style="3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1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1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1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_xlfn.MAXIFS(Estimates_T3[Error],Estimates_T3[T / V],"Training")</f>
        <v>17.913845388929769</v>
      </c>
      <c r="R4" s="2"/>
      <c r="T4"/>
    </row>
    <row r="5" spans="1:21" x14ac:dyDescent="0.3">
      <c r="B5" s="11" t="s">
        <v>21</v>
      </c>
      <c r="C5" s="10">
        <v>0.7</v>
      </c>
      <c r="D5" s="10">
        <f>Training*D7</f>
        <v>25.2</v>
      </c>
      <c r="J5"/>
      <c r="K5"/>
      <c r="L5"/>
      <c r="M5" s="9"/>
      <c r="N5"/>
      <c r="O5" s="39"/>
      <c r="P5" s="2" t="s">
        <v>29</v>
      </c>
      <c r="Q5" s="3">
        <f ca="1">_xlfn.MINIFS(Estimates_T3[Error],Estimates_T3[T / V],"Training")</f>
        <v>0.14859538907134714</v>
      </c>
      <c r="R5" s="2"/>
      <c r="T5"/>
    </row>
    <row r="6" spans="1:21" x14ac:dyDescent="0.3">
      <c r="B6" s="12" t="s">
        <v>22</v>
      </c>
      <c r="C6" s="3">
        <f>1-C5</f>
        <v>0.30000000000000004</v>
      </c>
      <c r="D6" s="3">
        <f>Validation*D7</f>
        <v>10.8</v>
      </c>
      <c r="J6"/>
      <c r="K6"/>
      <c r="L6"/>
      <c r="M6" s="9"/>
      <c r="N6"/>
      <c r="O6" s="39"/>
      <c r="P6" s="2" t="s">
        <v>30</v>
      </c>
      <c r="Q6" s="3">
        <f ca="1">AVERAGEIFS(Estimates_T3[Error],Estimates_T3[T / V],"Training")</f>
        <v>4.8051861529599353</v>
      </c>
      <c r="R6" s="2"/>
      <c r="T6"/>
    </row>
    <row r="7" spans="1:21" x14ac:dyDescent="0.3">
      <c r="B7" s="13" t="s">
        <v>23</v>
      </c>
      <c r="C7" s="7">
        <v>1</v>
      </c>
      <c r="D7" s="7">
        <f>COUNT(Data_T3[L])</f>
        <v>36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_xlfn.MAXIFS(Estimates_T3[Error],Estimates_T3[T / V],"Validation")</f>
        <v>15.456723701127503</v>
      </c>
      <c r="R7" s="2"/>
      <c r="T7"/>
    </row>
    <row r="8" spans="1:21" x14ac:dyDescent="0.3">
      <c r="J8"/>
      <c r="K8"/>
      <c r="L8"/>
      <c r="M8" s="9"/>
      <c r="N8"/>
      <c r="O8" s="39"/>
      <c r="P8" s="2" t="s">
        <v>29</v>
      </c>
      <c r="Q8" s="3">
        <f ca="1">_xlfn.MINIFS(Estimates_T3[Error],Estimates_T3[T / V],"Validation")</f>
        <v>0.82492837868504365</v>
      </c>
      <c r="R8" s="2"/>
      <c r="T8"/>
    </row>
    <row r="9" spans="1:21" x14ac:dyDescent="0.3">
      <c r="J9"/>
      <c r="K9"/>
      <c r="L9"/>
      <c r="M9" s="9"/>
      <c r="N9"/>
      <c r="O9" s="38"/>
      <c r="P9" s="4" t="s">
        <v>30</v>
      </c>
      <c r="Q9" s="7">
        <f ca="1">AVERAGEIFS(Estimates_T3[Error],Estimates_T3[T / V],"Validation")</f>
        <v>6.9807746406520437</v>
      </c>
      <c r="R9" s="2"/>
      <c r="T9"/>
    </row>
    <row r="10" spans="1:21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1" x14ac:dyDescent="0.3">
      <c r="B11" s="11" t="s">
        <v>15</v>
      </c>
      <c r="C11" s="3">
        <f ca="1">SUMPRODUCT(F61:F120,G61:G120)/SUMSQ(F61:F120)</f>
        <v>19.988656578872924</v>
      </c>
      <c r="G11"/>
      <c r="H11" s="2"/>
      <c r="I11"/>
      <c r="J11"/>
      <c r="K11"/>
      <c r="L11"/>
      <c r="M11" s="9"/>
      <c r="N11"/>
      <c r="O11" s="39"/>
      <c r="P11" s="2"/>
      <c r="R11" s="2"/>
      <c r="T11"/>
    </row>
    <row r="12" spans="1:21" x14ac:dyDescent="0.3">
      <c r="B12" s="12" t="s">
        <v>14</v>
      </c>
      <c r="C12" s="3">
        <v>0</v>
      </c>
      <c r="N12" s="15"/>
      <c r="O12" s="2"/>
      <c r="P12" s="2"/>
      <c r="R12" s="2"/>
      <c r="T12"/>
    </row>
    <row r="13" spans="1:21" ht="16.2" x14ac:dyDescent="0.3">
      <c r="B13" s="13" t="s">
        <v>31</v>
      </c>
      <c r="C13" s="7">
        <f ca="1">1-SUMSQ(K61:K120)/SUMSQ(L61:L120)</f>
        <v>0.95760224619102141</v>
      </c>
      <c r="N13" s="5"/>
      <c r="R13" s="15"/>
      <c r="T13"/>
    </row>
    <row r="14" spans="1:21" x14ac:dyDescent="0.3">
      <c r="N14" s="5"/>
      <c r="O14" s="5"/>
      <c r="P14" s="5"/>
      <c r="Q14" s="5"/>
      <c r="R14" s="5"/>
      <c r="S14" s="5"/>
      <c r="T14"/>
    </row>
    <row r="15" spans="1:21" x14ac:dyDescent="0.3">
      <c r="B15" s="51" t="s">
        <v>39</v>
      </c>
      <c r="N15" s="40"/>
      <c r="O15" s="16" t="s">
        <v>17</v>
      </c>
      <c r="P15" s="16" t="s">
        <v>18</v>
      </c>
      <c r="Q15" s="17">
        <v>-0.1</v>
      </c>
      <c r="R15" s="17">
        <v>-0.2</v>
      </c>
      <c r="S15" s="17">
        <v>0.1</v>
      </c>
      <c r="T15" s="17">
        <v>0.2</v>
      </c>
      <c r="U15" s="15"/>
    </row>
    <row r="16" spans="1:21" ht="15.6" x14ac:dyDescent="0.35">
      <c r="B16" s="14" t="s">
        <v>40</v>
      </c>
      <c r="C16" s="14" t="s">
        <v>41</v>
      </c>
      <c r="N16" s="40"/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5"/>
    </row>
    <row r="17" spans="1:27" x14ac:dyDescent="0.3">
      <c r="B17" s="10">
        <v>6.5</v>
      </c>
      <c r="C17" s="10">
        <f ca="1">B17*C11</f>
        <v>129.926267762674</v>
      </c>
      <c r="N17" s="40"/>
      <c r="O17" s="16">
        <v>1000</v>
      </c>
      <c r="P17" s="16">
        <f>O17</f>
        <v>1000</v>
      </c>
      <c r="Q17" s="16">
        <f>0.9*O17</f>
        <v>900</v>
      </c>
      <c r="R17" s="16">
        <f>0.8*O17</f>
        <v>800</v>
      </c>
      <c r="S17" s="16">
        <f>1.1*O17</f>
        <v>1100</v>
      </c>
      <c r="T17" s="16">
        <f>1.2*O17</f>
        <v>1200</v>
      </c>
      <c r="U17" s="15"/>
    </row>
    <row r="18" spans="1:27" x14ac:dyDescent="0.3">
      <c r="B18" s="7">
        <v>19.399999999999999</v>
      </c>
      <c r="C18" s="7">
        <f ca="1">B18*C11</f>
        <v>387.77993763013467</v>
      </c>
      <c r="N18" s="40"/>
      <c r="O18" s="15"/>
      <c r="P18" s="15"/>
      <c r="Q18" s="15"/>
      <c r="R18" s="15"/>
      <c r="S18" s="15"/>
      <c r="T18" s="15"/>
      <c r="U18" s="15"/>
    </row>
    <row r="19" spans="1:27" x14ac:dyDescent="0.3">
      <c r="N19" s="40"/>
      <c r="O19" s="5"/>
      <c r="P19" s="5"/>
      <c r="Q19" s="5"/>
      <c r="R19" s="5"/>
      <c r="S19" s="5"/>
      <c r="T19" s="5"/>
      <c r="U19" s="5"/>
    </row>
    <row r="20" spans="1:27" x14ac:dyDescent="0.3">
      <c r="N20" s="40"/>
      <c r="O20" s="5"/>
      <c r="P20" s="5"/>
      <c r="Q20" s="5"/>
      <c r="R20" s="5"/>
      <c r="S20" s="5"/>
      <c r="T20" s="5"/>
      <c r="U20" s="41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11</v>
      </c>
      <c r="B22" s="3">
        <v>170</v>
      </c>
      <c r="C22" s="3" t="s">
        <v>9</v>
      </c>
      <c r="D22" s="3">
        <v>1</v>
      </c>
      <c r="E22" s="3">
        <v>2</v>
      </c>
      <c r="F22" s="3">
        <v>12.414593957682301</v>
      </c>
      <c r="G22" s="3">
        <v>251.89549266775174</v>
      </c>
      <c r="H22" s="3">
        <v>20.290272362220573</v>
      </c>
      <c r="I22" s="3" t="str">
        <f>IF(ROWS($I$22:I22)&lt;=n_T,"Training","Validation")</f>
        <v>Training</v>
      </c>
      <c r="J22" s="3">
        <f t="shared" ref="J22:J57" ca="1" si="0">RAND()</f>
        <v>0.32246516030634031</v>
      </c>
      <c r="O22" s="3">
        <f>Data_T3[[#This Row],[A_q]]</f>
        <v>251.89549266775174</v>
      </c>
      <c r="P22" s="3">
        <f ca="1">Data_T3[[#This Row],[A_T]]*$C$11</f>
        <v>248.15105518626237</v>
      </c>
      <c r="Q22" s="3" t="str">
        <f>Data_T3[[#This Row],[T / V]]</f>
        <v>Training</v>
      </c>
      <c r="R22" s="3">
        <f ca="1">ABS((Estimates_T3[[#This Row],[A_q predicted (b=0)]]-Estimates_T3[[#This Row],[A_q measured]])/Estimates_T3[[#This Row],[A_q measured]])*100</f>
        <v>1.4865043601348815</v>
      </c>
      <c r="V22" s="2"/>
    </row>
    <row r="23" spans="1:27" x14ac:dyDescent="0.3">
      <c r="A23" s="3" t="s">
        <v>8</v>
      </c>
      <c r="B23" s="3">
        <v>170</v>
      </c>
      <c r="C23" s="3" t="s">
        <v>9</v>
      </c>
      <c r="D23" s="3">
        <v>0.5</v>
      </c>
      <c r="E23" s="3">
        <v>1</v>
      </c>
      <c r="F23" s="3">
        <v>9.9350536485328842</v>
      </c>
      <c r="G23" s="3">
        <v>186.1133247973641</v>
      </c>
      <c r="H23" s="3">
        <v>18.732996456928802</v>
      </c>
      <c r="I23" s="3" t="str">
        <f>IF(ROWS($I$22:I23)&lt;=n_T,"Training","Validation")</f>
        <v>Training</v>
      </c>
      <c r="J23" s="3">
        <f t="shared" ca="1" si="0"/>
        <v>0.42268672198218127</v>
      </c>
      <c r="O23" s="3">
        <f>Data_T3[[#This Row],[A_q]]</f>
        <v>186.1133247973641</v>
      </c>
      <c r="P23" s="3">
        <f ca="1">Data_T3[[#This Row],[A_T]]*$C$11</f>
        <v>198.58837547320229</v>
      </c>
      <c r="Q23" s="3" t="str">
        <f>Data_T3[[#This Row],[T / V]]</f>
        <v>Training</v>
      </c>
      <c r="R23" s="3">
        <f ca="1">ABS((Estimates_T3[[#This Row],[A_q predicted (b=0)]]-Estimates_T3[[#This Row],[A_q measured]])/Estimates_T3[[#This Row],[A_q measured]])*100</f>
        <v>6.702932575849009</v>
      </c>
    </row>
    <row r="24" spans="1:27" x14ac:dyDescent="0.3">
      <c r="A24" s="3" t="s">
        <v>12</v>
      </c>
      <c r="B24" s="3">
        <v>170</v>
      </c>
      <c r="C24" s="3" t="s">
        <v>10</v>
      </c>
      <c r="D24" s="3">
        <v>1</v>
      </c>
      <c r="E24" s="3">
        <v>2</v>
      </c>
      <c r="F24" s="3">
        <v>11.275199999993378</v>
      </c>
      <c r="G24" s="3">
        <v>242.68199999999433</v>
      </c>
      <c r="H24" s="3">
        <v>21.523520647096007</v>
      </c>
      <c r="I24" s="3" t="str">
        <f>IF(ROWS($I$22:I24)&lt;=n_T,"Training","Validation")</f>
        <v>Training</v>
      </c>
      <c r="J24" s="3">
        <f t="shared" ca="1" si="0"/>
        <v>4.1182933341762373E-3</v>
      </c>
      <c r="O24" s="3">
        <f>Data_T3[[#This Row],[A_q]]</f>
        <v>242.68199999999433</v>
      </c>
      <c r="P24" s="3">
        <f ca="1">Data_T3[[#This Row],[A_T]]*$C$11</f>
        <v>225.37610065797563</v>
      </c>
      <c r="Q24" s="3" t="str">
        <f>Data_T3[[#This Row],[T / V]]</f>
        <v>Training</v>
      </c>
      <c r="R24" s="3">
        <f ca="1">ABS((Estimates_T3[[#This Row],[A_q predicted (b=0)]]-Estimates_T3[[#This Row],[A_q measured]])/Estimates_T3[[#This Row],[A_q measured]])*100</f>
        <v>7.1311013350883492</v>
      </c>
    </row>
    <row r="25" spans="1:27" x14ac:dyDescent="0.3">
      <c r="A25" s="3" t="s">
        <v>11</v>
      </c>
      <c r="B25" s="3">
        <v>170</v>
      </c>
      <c r="C25" s="3" t="s">
        <v>10</v>
      </c>
      <c r="D25" s="3">
        <v>1</v>
      </c>
      <c r="E25" s="3">
        <v>1</v>
      </c>
      <c r="F25" s="3">
        <v>11.064381075029758</v>
      </c>
      <c r="G25" s="3">
        <v>222.77243533078848</v>
      </c>
      <c r="H25" s="3">
        <v>20.134197640168441</v>
      </c>
      <c r="I25" s="3" t="str">
        <f>IF(ROWS($I$22:I25)&lt;=n_T,"Training","Validation")</f>
        <v>Training</v>
      </c>
      <c r="J25" s="3">
        <f t="shared" ca="1" si="0"/>
        <v>0.16722115743626509</v>
      </c>
      <c r="O25" s="3">
        <f>Data_T3[[#This Row],[A_q]]</f>
        <v>222.77243533078848</v>
      </c>
      <c r="P25" s="3">
        <f ca="1">Data_T3[[#This Row],[A_T]]*$C$11</f>
        <v>221.16211356655063</v>
      </c>
      <c r="Q25" s="3" t="str">
        <f>Data_T3[[#This Row],[T / V]]</f>
        <v>Training</v>
      </c>
      <c r="R25" s="3">
        <f ca="1">ABS((Estimates_T3[[#This Row],[A_q predicted (b=0)]]-Estimates_T3[[#This Row],[A_q measured]])/Estimates_T3[[#This Row],[A_q measured]])*100</f>
        <v>0.72285503448697819</v>
      </c>
    </row>
    <row r="26" spans="1:27" x14ac:dyDescent="0.3">
      <c r="A26" s="3" t="s">
        <v>11</v>
      </c>
      <c r="B26" s="3">
        <v>170</v>
      </c>
      <c r="C26" s="3" t="s">
        <v>9</v>
      </c>
      <c r="D26" s="3">
        <v>1</v>
      </c>
      <c r="E26" s="3">
        <v>1</v>
      </c>
      <c r="F26" s="3">
        <v>11.990650156666428</v>
      </c>
      <c r="G26" s="3">
        <v>261.17692526275397</v>
      </c>
      <c r="H26" s="3">
        <v>21.781715073852585</v>
      </c>
      <c r="I26" s="3" t="str">
        <f>IF(ROWS($I$22:I26)&lt;=n_T,"Training","Validation")</f>
        <v>Training</v>
      </c>
      <c r="J26" s="3">
        <f t="shared" ca="1" si="0"/>
        <v>0.79812766078737907</v>
      </c>
      <c r="O26" s="3">
        <f>Data_T3[[#This Row],[A_q]]</f>
        <v>261.17692526275397</v>
      </c>
      <c r="P26" s="3">
        <f ca="1">Data_T3[[#This Row],[A_T]]*$C$11</f>
        <v>239.67698813901404</v>
      </c>
      <c r="Q26" s="3" t="str">
        <f>Data_T3[[#This Row],[T / V]]</f>
        <v>Training</v>
      </c>
      <c r="R26" s="3">
        <f ca="1">ABS((Estimates_T3[[#This Row],[A_q predicted (b=0)]]-Estimates_T3[[#This Row],[A_q measured]])/Estimates_T3[[#This Row],[A_q measured]])*100</f>
        <v>8.2319435769871969</v>
      </c>
    </row>
    <row r="27" spans="1:27" x14ac:dyDescent="0.3">
      <c r="A27" s="3" t="s">
        <v>12</v>
      </c>
      <c r="B27" s="3">
        <v>170</v>
      </c>
      <c r="C27" s="3" t="s">
        <v>10</v>
      </c>
      <c r="D27" s="3">
        <v>0.5</v>
      </c>
      <c r="E27" s="3">
        <v>3</v>
      </c>
      <c r="F27" s="3">
        <v>12.827573007786603</v>
      </c>
      <c r="G27" s="3">
        <v>256.02550949111617</v>
      </c>
      <c r="H27" s="3">
        <v>19.958998427504827</v>
      </c>
      <c r="I27" s="3" t="str">
        <f>IF(ROWS($I$22:I27)&lt;=n_T,"Training","Validation")</f>
        <v>Training</v>
      </c>
      <c r="J27" s="3">
        <f t="shared" ca="1" si="0"/>
        <v>0.21081049669812968</v>
      </c>
      <c r="O27" s="3">
        <f>Data_T3[[#This Row],[A_q]]</f>
        <v>256.02550949111617</v>
      </c>
      <c r="P27" s="3">
        <f ca="1">Data_T3[[#This Row],[A_T]]*$C$11</f>
        <v>256.40595159306639</v>
      </c>
      <c r="Q27" s="3" t="str">
        <f>Data_T3[[#This Row],[T / V]]</f>
        <v>Training</v>
      </c>
      <c r="R27" s="3">
        <f ca="1">ABS((Estimates_T3[[#This Row],[A_q predicted (b=0)]]-Estimates_T3[[#This Row],[A_q measured]])/Estimates_T3[[#This Row],[A_q measured]])*100</f>
        <v>0.14859538907134714</v>
      </c>
    </row>
    <row r="28" spans="1:27" x14ac:dyDescent="0.3">
      <c r="A28" s="3" t="s">
        <v>12</v>
      </c>
      <c r="B28" s="3">
        <v>170</v>
      </c>
      <c r="C28" s="3" t="s">
        <v>9</v>
      </c>
      <c r="D28" s="3">
        <v>1</v>
      </c>
      <c r="E28" s="3">
        <v>2</v>
      </c>
      <c r="F28" s="3">
        <v>17.790648849835058</v>
      </c>
      <c r="G28" s="3">
        <v>369.31674307917132</v>
      </c>
      <c r="H28" s="3">
        <v>20.759037300800603</v>
      </c>
      <c r="I28" s="3" t="str">
        <f>IF(ROWS($I$22:I28)&lt;=n_T,"Training","Validation")</f>
        <v>Training</v>
      </c>
      <c r="J28" s="3">
        <f t="shared" ca="1" si="0"/>
        <v>0.76786782435158574</v>
      </c>
      <c r="O28" s="3">
        <f>Data_T3[[#This Row],[A_q]]</f>
        <v>369.31674307917132</v>
      </c>
      <c r="P28" s="3">
        <f ca="1">Data_T3[[#This Row],[A_T]]*$C$11</f>
        <v>355.61117017467353</v>
      </c>
      <c r="Q28" s="3" t="str">
        <f>Data_T3[[#This Row],[T / V]]</f>
        <v>Training</v>
      </c>
      <c r="R28" s="3">
        <f ca="1">ABS((Estimates_T3[[#This Row],[A_q predicted (b=0)]]-Estimates_T3[[#This Row],[A_q measured]])/Estimates_T3[[#This Row],[A_q measured]])*100</f>
        <v>3.7110618896473069</v>
      </c>
    </row>
    <row r="29" spans="1:27" x14ac:dyDescent="0.3">
      <c r="A29" s="3" t="s">
        <v>8</v>
      </c>
      <c r="B29" s="3">
        <v>170</v>
      </c>
      <c r="C29" s="3" t="s">
        <v>10</v>
      </c>
      <c r="D29" s="3">
        <v>1</v>
      </c>
      <c r="E29" s="3">
        <v>2</v>
      </c>
      <c r="F29" s="3">
        <v>9.3620263278695397</v>
      </c>
      <c r="G29" s="3">
        <v>159.24805774971134</v>
      </c>
      <c r="H29" s="3">
        <v>17.009998922525028</v>
      </c>
      <c r="I29" s="3" t="str">
        <f>IF(ROWS($I$22:I29)&lt;=n_T,"Training","Validation")</f>
        <v>Training</v>
      </c>
      <c r="J29" s="3">
        <f t="shared" ca="1" si="0"/>
        <v>0.63301589707613914</v>
      </c>
      <c r="O29" s="3">
        <f>Data_T3[[#This Row],[A_q]]</f>
        <v>159.24805774971134</v>
      </c>
      <c r="P29" s="3">
        <f ca="1">Data_T3[[#This Row],[A_T]]*$C$11</f>
        <v>187.13432915015099</v>
      </c>
      <c r="Q29" s="3" t="str">
        <f>Data_T3[[#This Row],[T / V]]</f>
        <v>Training</v>
      </c>
      <c r="R29" s="3">
        <f ca="1">ABS((Estimates_T3[[#This Row],[A_q predicted (b=0)]]-Estimates_T3[[#This Row],[A_q measured]])/Estimates_T3[[#This Row],[A_q measured]])*100</f>
        <v>17.511216020146534</v>
      </c>
    </row>
    <row r="30" spans="1:27" x14ac:dyDescent="0.3">
      <c r="A30" s="3" t="s">
        <v>11</v>
      </c>
      <c r="B30" s="3">
        <v>170</v>
      </c>
      <c r="C30" s="3" t="s">
        <v>9</v>
      </c>
      <c r="D30" s="3">
        <v>0.5</v>
      </c>
      <c r="E30" s="3">
        <v>1</v>
      </c>
      <c r="F30" s="3">
        <v>11.393531322500698</v>
      </c>
      <c r="G30" s="3">
        <v>236.18810812499981</v>
      </c>
      <c r="H30" s="3">
        <v>20.730017888181866</v>
      </c>
      <c r="I30" s="3" t="str">
        <f>IF(ROWS($I$22:I30)&lt;=n_T,"Training","Validation")</f>
        <v>Training</v>
      </c>
      <c r="J30" s="3">
        <f t="shared" ca="1" si="0"/>
        <v>0.49852773513651716</v>
      </c>
      <c r="O30" s="3">
        <f>Data_T3[[#This Row],[A_q]]</f>
        <v>236.18810812499981</v>
      </c>
      <c r="P30" s="3">
        <f ca="1">Data_T3[[#This Row],[A_T]]*$C$11</f>
        <v>227.74138482609828</v>
      </c>
      <c r="Q30" s="3" t="str">
        <f>Data_T3[[#This Row],[T / V]]</f>
        <v>Training</v>
      </c>
      <c r="R30" s="3">
        <f ca="1">ABS((Estimates_T3[[#This Row],[A_q predicted (b=0)]]-Estimates_T3[[#This Row],[A_q measured]])/Estimates_T3[[#This Row],[A_q measured]])*100</f>
        <v>3.5762695107542002</v>
      </c>
    </row>
    <row r="31" spans="1:27" x14ac:dyDescent="0.3">
      <c r="A31" s="3" t="s">
        <v>8</v>
      </c>
      <c r="B31" s="3">
        <v>170</v>
      </c>
      <c r="C31" s="3" t="s">
        <v>9</v>
      </c>
      <c r="D31" s="3">
        <v>1</v>
      </c>
      <c r="E31" s="3">
        <v>1</v>
      </c>
      <c r="F31" s="3">
        <v>6.9743999999999957</v>
      </c>
      <c r="G31" s="3">
        <v>169.83240000000001</v>
      </c>
      <c r="H31" s="3">
        <v>24.350825877494856</v>
      </c>
      <c r="I31" s="3" t="str">
        <f>IF(ROWS($I$22:I31)&lt;=n_T,"Training","Validation")</f>
        <v>Training</v>
      </c>
      <c r="J31" s="3">
        <f t="shared" ca="1" si="0"/>
        <v>9.8698773333464884E-2</v>
      </c>
      <c r="O31" s="3">
        <f>Data_T3[[#This Row],[A_q]]</f>
        <v>169.83240000000001</v>
      </c>
      <c r="P31" s="3">
        <f ca="1">Data_T3[[#This Row],[A_T]]*$C$11</f>
        <v>139.40888644369124</v>
      </c>
      <c r="Q31" s="3" t="str">
        <f>Data_T3[[#This Row],[T / V]]</f>
        <v>Training</v>
      </c>
      <c r="R31" s="3">
        <f ca="1">ABS((Estimates_T3[[#This Row],[A_q predicted (b=0)]]-Estimates_T3[[#This Row],[A_q measured]])/Estimates_T3[[#This Row],[A_q measured]])*100</f>
        <v>17.913845388929769</v>
      </c>
    </row>
    <row r="32" spans="1:27" x14ac:dyDescent="0.3">
      <c r="A32" s="3" t="s">
        <v>11</v>
      </c>
      <c r="B32" s="3">
        <v>170</v>
      </c>
      <c r="C32" s="3" t="s">
        <v>10</v>
      </c>
      <c r="D32" s="3">
        <v>0.5</v>
      </c>
      <c r="E32" s="3">
        <v>1</v>
      </c>
      <c r="F32" s="3">
        <v>12.236660066643104</v>
      </c>
      <c r="G32" s="3">
        <v>246.42412532412126</v>
      </c>
      <c r="H32" s="3">
        <v>20.138185091524168</v>
      </c>
      <c r="I32" s="3" t="str">
        <f>IF(ROWS($I$22:I32)&lt;=n_T,"Training","Validation")</f>
        <v>Training</v>
      </c>
      <c r="J32" s="3">
        <f t="shared" ca="1" si="0"/>
        <v>0.3006565016732704</v>
      </c>
      <c r="O32" s="3">
        <f>Data_T3[[#This Row],[A_q]]</f>
        <v>246.42412532412126</v>
      </c>
      <c r="P32" s="3">
        <f ca="1">Data_T3[[#This Row],[A_T]]*$C$11</f>
        <v>244.59439574453728</v>
      </c>
      <c r="Q32" s="3" t="str">
        <f>Data_T3[[#This Row],[T / V]]</f>
        <v>Training</v>
      </c>
      <c r="R32" s="3">
        <f ca="1">ABS((Estimates_T3[[#This Row],[A_q predicted (b=0)]]-Estimates_T3[[#This Row],[A_q measured]])/Estimates_T3[[#This Row],[A_q measured]])*100</f>
        <v>0.74251235636013424</v>
      </c>
    </row>
    <row r="33" spans="1:18" x14ac:dyDescent="0.3">
      <c r="A33" s="3" t="s">
        <v>12</v>
      </c>
      <c r="B33" s="3">
        <v>170</v>
      </c>
      <c r="C33" s="3" t="s">
        <v>9</v>
      </c>
      <c r="D33" s="3">
        <v>0.5</v>
      </c>
      <c r="E33" s="3">
        <v>3</v>
      </c>
      <c r="F33" s="3">
        <v>15.972408843058197</v>
      </c>
      <c r="G33" s="3">
        <v>309.82490270263128</v>
      </c>
      <c r="H33" s="3">
        <v>19.397506396618752</v>
      </c>
      <c r="I33" s="3" t="str">
        <f>IF(ROWS($I$22:I33)&lt;=n_T,"Training","Validation")</f>
        <v>Training</v>
      </c>
      <c r="J33" s="3">
        <f t="shared" ca="1" si="0"/>
        <v>0.7786846229648986</v>
      </c>
      <c r="O33" s="3">
        <f>Data_T3[[#This Row],[A_q]]</f>
        <v>309.82490270263128</v>
      </c>
      <c r="P33" s="3">
        <f ca="1">Data_T3[[#This Row],[A_T]]*$C$11</f>
        <v>319.26699510124331</v>
      </c>
      <c r="Q33" s="3" t="str">
        <f>Data_T3[[#This Row],[T / V]]</f>
        <v>Training</v>
      </c>
      <c r="R33" s="3">
        <f ca="1">ABS((Estimates_T3[[#This Row],[A_q predicted (b=0)]]-Estimates_T3[[#This Row],[A_q measured]])/Estimates_T3[[#This Row],[A_q measured]])*100</f>
        <v>3.0475576095555224</v>
      </c>
    </row>
    <row r="34" spans="1:18" x14ac:dyDescent="0.3">
      <c r="A34" s="3" t="s">
        <v>12</v>
      </c>
      <c r="B34" s="3">
        <v>170</v>
      </c>
      <c r="C34" s="3" t="s">
        <v>9</v>
      </c>
      <c r="D34" s="3">
        <v>0.5</v>
      </c>
      <c r="E34" s="3">
        <v>1</v>
      </c>
      <c r="F34" s="3">
        <v>14.747651848983457</v>
      </c>
      <c r="G34" s="3">
        <v>292.58543252599304</v>
      </c>
      <c r="H34" s="3">
        <v>19.839458886206398</v>
      </c>
      <c r="I34" s="3" t="str">
        <f>IF(ROWS($I$22:I34)&lt;=n_T,"Training","Validation")</f>
        <v>Training</v>
      </c>
      <c r="J34" s="3">
        <f t="shared" ca="1" si="0"/>
        <v>0.37281958505067692</v>
      </c>
      <c r="O34" s="3">
        <f>Data_T3[[#This Row],[A_q]]</f>
        <v>292.58543252599304</v>
      </c>
      <c r="P34" s="3">
        <f ca="1">Data_T3[[#This Row],[A_T]]*$C$11</f>
        <v>294.78574815411059</v>
      </c>
      <c r="Q34" s="3" t="str">
        <f>Data_T3[[#This Row],[T / V]]</f>
        <v>Training</v>
      </c>
      <c r="R34" s="3">
        <f ca="1">ABS((Estimates_T3[[#This Row],[A_q predicted (b=0)]]-Estimates_T3[[#This Row],[A_q measured]])/Estimates_T3[[#This Row],[A_q measured]])*100</f>
        <v>0.75202500996767041</v>
      </c>
    </row>
    <row r="35" spans="1:18" x14ac:dyDescent="0.3">
      <c r="A35" s="3" t="s">
        <v>11</v>
      </c>
      <c r="B35" s="3">
        <v>170</v>
      </c>
      <c r="C35" s="3" t="s">
        <v>10</v>
      </c>
      <c r="D35" s="3">
        <v>1</v>
      </c>
      <c r="E35" s="3">
        <v>3</v>
      </c>
      <c r="F35" s="3">
        <v>11.550733538461678</v>
      </c>
      <c r="G35" s="3">
        <v>217.63550879854768</v>
      </c>
      <c r="H35" s="3">
        <v>18.84170456134791</v>
      </c>
      <c r="I35" s="3" t="str">
        <f>IF(ROWS($I$22:I35)&lt;=n_T,"Training","Validation")</f>
        <v>Training</v>
      </c>
      <c r="J35" s="3">
        <f t="shared" ca="1" si="0"/>
        <v>0.78062936388664417</v>
      </c>
      <c r="O35" s="3">
        <f>Data_T3[[#This Row],[A_q]]</f>
        <v>217.63550879854768</v>
      </c>
      <c r="P35" s="3">
        <f ca="1">Data_T3[[#This Row],[A_T]]*$C$11</f>
        <v>230.88364593438016</v>
      </c>
      <c r="Q35" s="3" t="str">
        <f>Data_T3[[#This Row],[T / V]]</f>
        <v>Training</v>
      </c>
      <c r="R35" s="3">
        <f ca="1">ABS((Estimates_T3[[#This Row],[A_q predicted (b=0)]]-Estimates_T3[[#This Row],[A_q measured]])/Estimates_T3[[#This Row],[A_q measured]])*100</f>
        <v>6.0873049664407004</v>
      </c>
    </row>
    <row r="36" spans="1:18" x14ac:dyDescent="0.3">
      <c r="A36" s="3" t="s">
        <v>11</v>
      </c>
      <c r="B36" s="3">
        <v>170</v>
      </c>
      <c r="C36" s="3" t="s">
        <v>10</v>
      </c>
      <c r="D36" s="3">
        <v>0.5</v>
      </c>
      <c r="E36" s="3">
        <v>2</v>
      </c>
      <c r="F36" s="3">
        <v>12.778499999994182</v>
      </c>
      <c r="G36" s="3">
        <v>247.45169999999919</v>
      </c>
      <c r="H36" s="3">
        <v>19.364690691404459</v>
      </c>
      <c r="I36" s="3" t="str">
        <f>IF(ROWS($I$22:I36)&lt;=n_T,"Training","Validation")</f>
        <v>Training</v>
      </c>
      <c r="J36" s="3">
        <f t="shared" ca="1" si="0"/>
        <v>0.57632920135925036</v>
      </c>
      <c r="O36" s="3">
        <f>Data_T3[[#This Row],[A_q]]</f>
        <v>247.45169999999919</v>
      </c>
      <c r="P36" s="3">
        <f ca="1">Data_T3[[#This Row],[A_T]]*$C$11</f>
        <v>255.42504809301136</v>
      </c>
      <c r="Q36" s="3" t="str">
        <f>Data_T3[[#This Row],[T / V]]</f>
        <v>Training</v>
      </c>
      <c r="R36" s="3">
        <f ca="1">ABS((Estimates_T3[[#This Row],[A_q predicted (b=0)]]-Estimates_T3[[#This Row],[A_q measured]])/Estimates_T3[[#This Row],[A_q measured]])*100</f>
        <v>3.2221835990668843</v>
      </c>
    </row>
    <row r="37" spans="1:18" x14ac:dyDescent="0.3">
      <c r="A37" s="3" t="s">
        <v>12</v>
      </c>
      <c r="B37" s="3">
        <v>170</v>
      </c>
      <c r="C37" s="3" t="s">
        <v>10</v>
      </c>
      <c r="D37" s="3">
        <v>1</v>
      </c>
      <c r="E37" s="3">
        <v>1</v>
      </c>
      <c r="F37" s="3">
        <v>13.042056671598727</v>
      </c>
      <c r="G37" s="3">
        <v>266.10625346834951</v>
      </c>
      <c r="H37" s="3">
        <v>20.403703201799502</v>
      </c>
      <c r="I37" s="3" t="str">
        <f>IF(ROWS($I$22:I37)&lt;=n_T,"Training","Validation")</f>
        <v>Training</v>
      </c>
      <c r="J37" s="3">
        <f t="shared" ca="1" si="0"/>
        <v>0.42267079720884215</v>
      </c>
      <c r="O37" s="3">
        <f>Data_T3[[#This Row],[A_q]]</f>
        <v>266.10625346834951</v>
      </c>
      <c r="P37" s="3">
        <f ca="1">Data_T3[[#This Row],[A_T]]*$C$11</f>
        <v>260.69319189078539</v>
      </c>
      <c r="Q37" s="3" t="str">
        <f>Data_T3[[#This Row],[T / V]]</f>
        <v>Training</v>
      </c>
      <c r="R37" s="3">
        <f ca="1">ABS((Estimates_T3[[#This Row],[A_q predicted (b=0)]]-Estimates_T3[[#This Row],[A_q measured]])/Estimates_T3[[#This Row],[A_q measured]])*100</f>
        <v>2.0341730068391453</v>
      </c>
    </row>
    <row r="38" spans="1:18" x14ac:dyDescent="0.3">
      <c r="A38" s="3" t="s">
        <v>12</v>
      </c>
      <c r="B38" s="3">
        <v>170</v>
      </c>
      <c r="C38" s="3" t="s">
        <v>9</v>
      </c>
      <c r="D38" s="3">
        <v>0.5</v>
      </c>
      <c r="E38" s="3">
        <v>2</v>
      </c>
      <c r="F38" s="3">
        <v>17.790648849835058</v>
      </c>
      <c r="G38" s="3">
        <v>369.31674307917132</v>
      </c>
      <c r="H38" s="3">
        <v>20.759037300800603</v>
      </c>
      <c r="I38" s="3" t="str">
        <f>IF(ROWS($I$22:I38)&lt;=n_T,"Training","Validation")</f>
        <v>Training</v>
      </c>
      <c r="J38" s="3">
        <f t="shared" ca="1" si="0"/>
        <v>0.55917019373522914</v>
      </c>
      <c r="O38" s="3">
        <f>Data_T3[[#This Row],[A_q]]</f>
        <v>369.31674307917132</v>
      </c>
      <c r="P38" s="3">
        <f ca="1">Data_T3[[#This Row],[A_T]]*$C$11</f>
        <v>355.61117017467353</v>
      </c>
      <c r="Q38" s="3" t="str">
        <f>Data_T3[[#This Row],[T / V]]</f>
        <v>Training</v>
      </c>
      <c r="R38" s="3">
        <f ca="1">ABS((Estimates_T3[[#This Row],[A_q predicted (b=0)]]-Estimates_T3[[#This Row],[A_q measured]])/Estimates_T3[[#This Row],[A_q measured]])*100</f>
        <v>3.7110618896473069</v>
      </c>
    </row>
    <row r="39" spans="1:18" x14ac:dyDescent="0.3">
      <c r="A39" s="3" t="s">
        <v>8</v>
      </c>
      <c r="B39" s="3">
        <v>170</v>
      </c>
      <c r="C39" s="3" t="s">
        <v>10</v>
      </c>
      <c r="D39" s="3">
        <v>0.5</v>
      </c>
      <c r="E39" s="3">
        <v>3</v>
      </c>
      <c r="F39" s="3">
        <v>6.6891725519443357</v>
      </c>
      <c r="G39" s="3">
        <v>134.90327528622092</v>
      </c>
      <c r="H39" s="3">
        <v>20.167408485674166</v>
      </c>
      <c r="I39" s="3" t="str">
        <f>IF(ROWS($I$22:I39)&lt;=n_T,"Training","Validation")</f>
        <v>Training</v>
      </c>
      <c r="J39" s="3">
        <f t="shared" ca="1" si="0"/>
        <v>0.9459806634276412</v>
      </c>
      <c r="O39" s="3">
        <f>Data_T3[[#This Row],[A_q]]</f>
        <v>134.90327528622092</v>
      </c>
      <c r="P39" s="3">
        <f ca="1">Data_T3[[#This Row],[A_T]]*$C$11</f>
        <v>133.70757293763833</v>
      </c>
      <c r="Q39" s="3" t="str">
        <f>Data_T3[[#This Row],[T / V]]</f>
        <v>Training</v>
      </c>
      <c r="R39" s="3">
        <f ca="1">ABS((Estimates_T3[[#This Row],[A_q predicted (b=0)]]-Estimates_T3[[#This Row],[A_q measured]])/Estimates_T3[[#This Row],[A_q measured]])*100</f>
        <v>0.88634048806131194</v>
      </c>
    </row>
    <row r="40" spans="1:18" x14ac:dyDescent="0.3">
      <c r="A40" s="3" t="s">
        <v>11</v>
      </c>
      <c r="B40" s="3">
        <v>170</v>
      </c>
      <c r="C40" s="3" t="s">
        <v>10</v>
      </c>
      <c r="D40" s="3">
        <v>1</v>
      </c>
      <c r="E40" s="3">
        <v>2</v>
      </c>
      <c r="F40" s="3">
        <v>11.370389065312704</v>
      </c>
      <c r="G40" s="3">
        <v>218.07088535308668</v>
      </c>
      <c r="H40" s="3">
        <v>19.178841119724638</v>
      </c>
      <c r="I40" s="3" t="str">
        <f>IF(ROWS($I$22:I40)&lt;=n_T,"Training","Validation")</f>
        <v>Training</v>
      </c>
      <c r="J40" s="3">
        <f t="shared" ca="1" si="0"/>
        <v>0.85609155318046293</v>
      </c>
      <c r="O40" s="3">
        <f>Data_T3[[#This Row],[A_q]]</f>
        <v>218.07088535308668</v>
      </c>
      <c r="P40" s="3">
        <f ca="1">Data_T3[[#This Row],[A_T]]*$C$11</f>
        <v>227.27880219470754</v>
      </c>
      <c r="Q40" s="3" t="str">
        <f>Data_T3[[#This Row],[T / V]]</f>
        <v>Training</v>
      </c>
      <c r="R40" s="3">
        <f ca="1">ABS((Estimates_T3[[#This Row],[A_q predicted (b=0)]]-Estimates_T3[[#This Row],[A_q measured]])/Estimates_T3[[#This Row],[A_q measured]])*100</f>
        <v>4.2224420865316237</v>
      </c>
    </row>
    <row r="41" spans="1:18" x14ac:dyDescent="0.3">
      <c r="A41" s="3" t="s">
        <v>12</v>
      </c>
      <c r="B41" s="3">
        <v>170</v>
      </c>
      <c r="C41" s="3" t="s">
        <v>9</v>
      </c>
      <c r="D41" s="3">
        <v>1</v>
      </c>
      <c r="E41" s="3">
        <v>1</v>
      </c>
      <c r="F41" s="3">
        <v>19.086000000000098</v>
      </c>
      <c r="G41" s="3">
        <v>387.39479999999998</v>
      </c>
      <c r="H41" s="3">
        <v>20.297327884313002</v>
      </c>
      <c r="I41" s="3" t="str">
        <f>IF(ROWS($I$22:I41)&lt;=n_T,"Training","Validation")</f>
        <v>Training</v>
      </c>
      <c r="J41" s="3">
        <f t="shared" ca="1" si="0"/>
        <v>0.62764259744336348</v>
      </c>
      <c r="O41" s="3">
        <f>Data_T3[[#This Row],[A_q]]</f>
        <v>387.39479999999998</v>
      </c>
      <c r="P41" s="3">
        <f ca="1">Data_T3[[#This Row],[A_T]]*$C$11</f>
        <v>381.50349946437058</v>
      </c>
      <c r="Q41" s="3" t="str">
        <f>Data_T3[[#This Row],[T / V]]</f>
        <v>Training</v>
      </c>
      <c r="R41" s="3">
        <f ca="1">ABS((Estimates_T3[[#This Row],[A_q predicted (b=0)]]-Estimates_T3[[#This Row],[A_q measured]])/Estimates_T3[[#This Row],[A_q measured]])*100</f>
        <v>1.5207484807822402</v>
      </c>
    </row>
    <row r="42" spans="1:18" x14ac:dyDescent="0.3">
      <c r="A42" s="3" t="s">
        <v>8</v>
      </c>
      <c r="B42" s="3">
        <v>170</v>
      </c>
      <c r="C42" s="3" t="s">
        <v>9</v>
      </c>
      <c r="D42" s="3">
        <v>0.5</v>
      </c>
      <c r="E42" s="3">
        <v>2</v>
      </c>
      <c r="F42" s="3">
        <v>8.9898000000008071</v>
      </c>
      <c r="G42" s="3">
        <v>184.20239999999984</v>
      </c>
      <c r="H42" s="3">
        <v>20.490155509575661</v>
      </c>
      <c r="I42" s="3" t="str">
        <f>IF(ROWS($I$22:I42)&lt;=n_T,"Training","Validation")</f>
        <v>Training</v>
      </c>
      <c r="J42" s="3">
        <f t="shared" ca="1" si="0"/>
        <v>7.6982753502931378E-2</v>
      </c>
      <c r="O42" s="3">
        <f>Data_T3[[#This Row],[A_q]]</f>
        <v>184.20239999999984</v>
      </c>
      <c r="P42" s="3">
        <f ca="1">Data_T3[[#This Row],[A_T]]*$C$11</f>
        <v>179.69402491276793</v>
      </c>
      <c r="Q42" s="3" t="str">
        <f>Data_T3[[#This Row],[T / V]]</f>
        <v>Training</v>
      </c>
      <c r="R42" s="3">
        <f ca="1">ABS((Estimates_T3[[#This Row],[A_q predicted (b=0)]]-Estimates_T3[[#This Row],[A_q measured]])/Estimates_T3[[#This Row],[A_q measured]])*100</f>
        <v>2.4475115890085664</v>
      </c>
    </row>
    <row r="43" spans="1:18" x14ac:dyDescent="0.3">
      <c r="A43" s="3" t="s">
        <v>8</v>
      </c>
      <c r="B43" s="3">
        <v>170</v>
      </c>
      <c r="C43" s="3" t="s">
        <v>9</v>
      </c>
      <c r="D43" s="3">
        <v>1</v>
      </c>
      <c r="E43" s="3">
        <v>3</v>
      </c>
      <c r="F43" s="3">
        <v>11.346010588618963</v>
      </c>
      <c r="G43" s="3">
        <v>205.62869365733505</v>
      </c>
      <c r="H43" s="3">
        <v>18.123435726703669</v>
      </c>
      <c r="I43" s="3" t="str">
        <f>IF(ROWS($I$22:I43)&lt;=n_T,"Training","Validation")</f>
        <v>Training</v>
      </c>
      <c r="J43" s="3">
        <f t="shared" ca="1" si="0"/>
        <v>0.73609390101221461</v>
      </c>
      <c r="O43" s="3">
        <f>Data_T3[[#This Row],[A_q]]</f>
        <v>205.62869365733505</v>
      </c>
      <c r="P43" s="3">
        <f ca="1">Data_T3[[#This Row],[A_T]]*$C$11</f>
        <v>226.79150919616029</v>
      </c>
      <c r="Q43" s="3" t="str">
        <f>Data_T3[[#This Row],[T / V]]</f>
        <v>Training</v>
      </c>
      <c r="R43" s="3">
        <f ca="1">ABS((Estimates_T3[[#This Row],[A_q predicted (b=0)]]-Estimates_T3[[#This Row],[A_q measured]])/Estimates_T3[[#This Row],[A_q measured]])*100</f>
        <v>10.29176189490923</v>
      </c>
    </row>
    <row r="44" spans="1:18" x14ac:dyDescent="0.3">
      <c r="A44" s="3" t="s">
        <v>11</v>
      </c>
      <c r="B44" s="3">
        <v>170</v>
      </c>
      <c r="C44" s="3" t="s">
        <v>10</v>
      </c>
      <c r="D44" s="3">
        <v>0.5</v>
      </c>
      <c r="E44" s="3">
        <v>3</v>
      </c>
      <c r="F44" s="3">
        <v>13.394999999995163</v>
      </c>
      <c r="G44" s="3">
        <v>240.30809999999769</v>
      </c>
      <c r="H44" s="3">
        <v>17.940134378505746</v>
      </c>
      <c r="I44" s="3" t="str">
        <f>IF(ROWS($I$22:I44)&lt;=n_T,"Training","Validation")</f>
        <v>Training</v>
      </c>
      <c r="J44" s="3">
        <f t="shared" ca="1" si="0"/>
        <v>0.93853702962200292</v>
      </c>
      <c r="O44" s="3">
        <f>Data_T3[[#This Row],[A_q]]</f>
        <v>240.30809999999769</v>
      </c>
      <c r="P44" s="3">
        <f ca="1">Data_T3[[#This Row],[A_T]]*$C$11</f>
        <v>267.74805487390614</v>
      </c>
      <c r="Q44" s="3" t="str">
        <f>Data_T3[[#This Row],[T / V]]</f>
        <v>Training</v>
      </c>
      <c r="R44" s="3">
        <f ca="1">ABS((Estimates_T3[[#This Row],[A_q predicted (b=0)]]-Estimates_T3[[#This Row],[A_q measured]])/Estimates_T3[[#This Row],[A_q measured]])*100</f>
        <v>11.418655831371773</v>
      </c>
    </row>
    <row r="45" spans="1:18" x14ac:dyDescent="0.3">
      <c r="A45" s="3" t="s">
        <v>8</v>
      </c>
      <c r="B45" s="3">
        <v>170</v>
      </c>
      <c r="C45" s="3" t="s">
        <v>10</v>
      </c>
      <c r="D45" s="3">
        <v>1</v>
      </c>
      <c r="E45" s="3">
        <v>3</v>
      </c>
      <c r="F45" s="3">
        <v>7.872829771852226</v>
      </c>
      <c r="G45" s="3">
        <v>156.15565369073173</v>
      </c>
      <c r="H45" s="3">
        <v>19.834755509262493</v>
      </c>
      <c r="I45" s="3" t="str">
        <f>IF(ROWS($I$22:I45)&lt;=n_T,"Training","Validation")</f>
        <v>Training</v>
      </c>
      <c r="J45" s="3">
        <f t="shared" ca="1" si="0"/>
        <v>0.85478417857379529</v>
      </c>
      <c r="O45" s="3">
        <f>Data_T3[[#This Row],[A_q]]</f>
        <v>156.15565369073173</v>
      </c>
      <c r="P45" s="3">
        <f ca="1">Data_T3[[#This Row],[A_T]]*$C$11</f>
        <v>157.36729061348061</v>
      </c>
      <c r="Q45" s="3" t="str">
        <f>Data_T3[[#This Row],[T / V]]</f>
        <v>Training</v>
      </c>
      <c r="R45" s="3">
        <f ca="1">ABS((Estimates_T3[[#This Row],[A_q predicted (b=0)]]-Estimates_T3[[#This Row],[A_q measured]])/Estimates_T3[[#This Row],[A_q measured]])*100</f>
        <v>0.77591614143445797</v>
      </c>
    </row>
    <row r="46" spans="1:18" x14ac:dyDescent="0.3">
      <c r="A46" s="3" t="s">
        <v>8</v>
      </c>
      <c r="B46" s="3">
        <v>170</v>
      </c>
      <c r="C46" s="3" t="s">
        <v>10</v>
      </c>
      <c r="D46" s="3">
        <v>0.5</v>
      </c>
      <c r="E46" s="3">
        <v>2</v>
      </c>
      <c r="F46" s="3">
        <v>6.9327748784655023</v>
      </c>
      <c r="G46" s="3">
        <v>136.08228581679037</v>
      </c>
      <c r="H46" s="3">
        <v>19.62883379344791</v>
      </c>
      <c r="I46" s="3" t="str">
        <f>IF(ROWS($I$22:I46)&lt;=n_T,"Training","Validation")</f>
        <v>Training</v>
      </c>
      <c r="J46" s="3">
        <f t="shared" ca="1" si="0"/>
        <v>2.8887068768781443E-3</v>
      </c>
      <c r="O46" s="3">
        <f>Data_T3[[#This Row],[A_q]]</f>
        <v>136.08228581679037</v>
      </c>
      <c r="P46" s="3">
        <f ca="1">Data_T3[[#This Row],[A_T]]*$C$11</f>
        <v>138.5768561842844</v>
      </c>
      <c r="Q46" s="3" t="str">
        <f>Data_T3[[#This Row],[T / V]]</f>
        <v>Training</v>
      </c>
      <c r="R46" s="3">
        <f ca="1">ABS((Estimates_T3[[#This Row],[A_q predicted (b=0)]]-Estimates_T3[[#This Row],[A_q measured]])/Estimates_T3[[#This Row],[A_q measured]])*100</f>
        <v>1.8331337929262139</v>
      </c>
    </row>
    <row r="47" spans="1:18" x14ac:dyDescent="0.3">
      <c r="A47" s="3" t="s">
        <v>12</v>
      </c>
      <c r="B47" s="3">
        <v>170</v>
      </c>
      <c r="C47" s="3" t="s">
        <v>10</v>
      </c>
      <c r="D47" s="3">
        <v>0.5</v>
      </c>
      <c r="E47" s="3">
        <v>2</v>
      </c>
      <c r="F47" s="3">
        <v>11.275199999993378</v>
      </c>
      <c r="G47" s="3">
        <v>242.68199999999433</v>
      </c>
      <c r="H47" s="3">
        <v>21.523520647096007</v>
      </c>
      <c r="I47" s="3" t="str">
        <f>IF(ROWS($I$22:I47)&lt;=n_T,"Training","Validation")</f>
        <v>Validation</v>
      </c>
      <c r="J47" s="3">
        <f t="shared" ca="1" si="0"/>
        <v>0.14406784008591822</v>
      </c>
      <c r="O47" s="3">
        <f>Data_T3[[#This Row],[A_q]]</f>
        <v>242.68199999999433</v>
      </c>
      <c r="P47" s="3">
        <f ca="1">Data_T3[[#This Row],[A_T]]*$C$11</f>
        <v>225.37610065797563</v>
      </c>
      <c r="Q47" s="3" t="str">
        <f>Data_T3[[#This Row],[T / V]]</f>
        <v>Validation</v>
      </c>
      <c r="R47" s="3">
        <f ca="1">ABS((Estimates_T3[[#This Row],[A_q predicted (b=0)]]-Estimates_T3[[#This Row],[A_q measured]])/Estimates_T3[[#This Row],[A_q measured]])*100</f>
        <v>7.1311013350883492</v>
      </c>
    </row>
    <row r="48" spans="1:18" x14ac:dyDescent="0.3">
      <c r="A48" s="3" t="s">
        <v>11</v>
      </c>
      <c r="B48" s="3">
        <v>170</v>
      </c>
      <c r="C48" s="3" t="s">
        <v>9</v>
      </c>
      <c r="D48" s="3">
        <v>0.5</v>
      </c>
      <c r="E48" s="3">
        <v>2</v>
      </c>
      <c r="F48" s="3">
        <v>11.776659612500808</v>
      </c>
      <c r="G48" s="3">
        <v>233.47361453749977</v>
      </c>
      <c r="H48" s="3">
        <v>19.825113590756231</v>
      </c>
      <c r="I48" s="3" t="str">
        <f>IF(ROWS($I$22:I48)&lt;=n_T,"Training","Validation")</f>
        <v>Validation</v>
      </c>
      <c r="J48" s="3">
        <f t="shared" ca="1" si="0"/>
        <v>0.19182155831155145</v>
      </c>
      <c r="O48" s="3">
        <f>Data_T3[[#This Row],[A_q]]</f>
        <v>233.47361453749977</v>
      </c>
      <c r="P48" s="3">
        <f ca="1">Data_T3[[#This Row],[A_T]]*$C$11</f>
        <v>235.39960464056134</v>
      </c>
      <c r="Q48" s="3" t="str">
        <f>Data_T3[[#This Row],[T / V]]</f>
        <v>Validation</v>
      </c>
      <c r="R48" s="3">
        <f ca="1">ABS((Estimates_T3[[#This Row],[A_q predicted (b=0)]]-Estimates_T3[[#This Row],[A_q measured]])/Estimates_T3[[#This Row],[A_q measured]])*100</f>
        <v>0.82492837868504365</v>
      </c>
    </row>
    <row r="49" spans="1:18" x14ac:dyDescent="0.3">
      <c r="A49" s="3" t="s">
        <v>8</v>
      </c>
      <c r="B49" s="3">
        <v>170</v>
      </c>
      <c r="C49" s="3" t="s">
        <v>10</v>
      </c>
      <c r="D49" s="3">
        <v>1</v>
      </c>
      <c r="E49" s="3">
        <v>1</v>
      </c>
      <c r="F49" s="3">
        <v>7.7868000000008877</v>
      </c>
      <c r="G49" s="3">
        <v>134.81040000000056</v>
      </c>
      <c r="H49" s="3">
        <v>17.312683002001489</v>
      </c>
      <c r="I49" s="3" t="str">
        <f>IF(ROWS($I$22:I49)&lt;=n_T,"Training","Validation")</f>
        <v>Validation</v>
      </c>
      <c r="J49" s="3">
        <f t="shared" ca="1" si="0"/>
        <v>0.53205438519692405</v>
      </c>
      <c r="O49" s="3">
        <f>Data_T3[[#This Row],[A_q]]</f>
        <v>134.81040000000056</v>
      </c>
      <c r="P49" s="3">
        <f ca="1">Data_T3[[#This Row],[A_T]]*$C$11</f>
        <v>155.64767104838543</v>
      </c>
      <c r="Q49" s="3" t="str">
        <f>Data_T3[[#This Row],[T / V]]</f>
        <v>Validation</v>
      </c>
      <c r="R49" s="3">
        <f ca="1">ABS((Estimates_T3[[#This Row],[A_q predicted (b=0)]]-Estimates_T3[[#This Row],[A_q measured]])/Estimates_T3[[#This Row],[A_q measured]])*100</f>
        <v>15.456723701127503</v>
      </c>
    </row>
    <row r="50" spans="1:18" x14ac:dyDescent="0.3">
      <c r="A50" s="3" t="s">
        <v>12</v>
      </c>
      <c r="B50" s="3">
        <v>170</v>
      </c>
      <c r="C50" s="3" t="s">
        <v>10</v>
      </c>
      <c r="D50" s="3">
        <v>0.5</v>
      </c>
      <c r="E50" s="3">
        <v>1</v>
      </c>
      <c r="F50" s="3">
        <v>10.128440696018268</v>
      </c>
      <c r="G50" s="3">
        <v>212.52860331422897</v>
      </c>
      <c r="H50" s="3">
        <v>20.983348739730392</v>
      </c>
      <c r="I50" s="3" t="str">
        <f>IF(ROWS($I$22:I50)&lt;=n_T,"Training","Validation")</f>
        <v>Validation</v>
      </c>
      <c r="J50" s="3">
        <f t="shared" ca="1" si="0"/>
        <v>0.73857162334176318</v>
      </c>
      <c r="O50" s="3">
        <f>Data_T3[[#This Row],[A_q]]</f>
        <v>212.52860331422897</v>
      </c>
      <c r="P50" s="3">
        <f ca="1">Data_T3[[#This Row],[A_T]]*$C$11</f>
        <v>202.45392275218981</v>
      </c>
      <c r="Q50" s="3" t="str">
        <f>Data_T3[[#This Row],[T / V]]</f>
        <v>Validation</v>
      </c>
      <c r="R50" s="3">
        <f ca="1">ABS((Estimates_T3[[#This Row],[A_q predicted (b=0)]]-Estimates_T3[[#This Row],[A_q measured]])/Estimates_T3[[#This Row],[A_q measured]])*100</f>
        <v>4.7403880724438254</v>
      </c>
    </row>
    <row r="51" spans="1:18" x14ac:dyDescent="0.3">
      <c r="A51" s="3" t="s">
        <v>8</v>
      </c>
      <c r="B51" s="3">
        <v>170</v>
      </c>
      <c r="C51" s="3" t="s">
        <v>9</v>
      </c>
      <c r="D51" s="3">
        <v>0.5</v>
      </c>
      <c r="E51" s="3">
        <v>3</v>
      </c>
      <c r="F51" s="3">
        <v>7.7242423058830347</v>
      </c>
      <c r="G51" s="3">
        <v>178.55986063999981</v>
      </c>
      <c r="H51" s="3">
        <v>23.116812441785104</v>
      </c>
      <c r="I51" s="3" t="str">
        <f>IF(ROWS($I$22:I51)&lt;=n_T,"Training","Validation")</f>
        <v>Validation</v>
      </c>
      <c r="J51" s="3">
        <f t="shared" ca="1" si="0"/>
        <v>0.8272331348933446</v>
      </c>
      <c r="O51" s="3">
        <f>Data_T3[[#This Row],[A_q]]</f>
        <v>178.55986063999981</v>
      </c>
      <c r="P51" s="3">
        <f ca="1">Data_T3[[#This Row],[A_T]]*$C$11</f>
        <v>154.39722678429749</v>
      </c>
      <c r="Q51" s="3" t="str">
        <f>Data_T3[[#This Row],[T / V]]</f>
        <v>Validation</v>
      </c>
      <c r="R51" s="3">
        <f ca="1">ABS((Estimates_T3[[#This Row],[A_q predicted (b=0)]]-Estimates_T3[[#This Row],[A_q measured]])/Estimates_T3[[#This Row],[A_q measured]])*100</f>
        <v>13.531951564644965</v>
      </c>
    </row>
    <row r="52" spans="1:18" x14ac:dyDescent="0.3">
      <c r="A52" s="3" t="s">
        <v>12</v>
      </c>
      <c r="B52" s="3">
        <v>170</v>
      </c>
      <c r="C52" s="3" t="s">
        <v>9</v>
      </c>
      <c r="D52" s="3">
        <v>1</v>
      </c>
      <c r="E52" s="3">
        <v>3</v>
      </c>
      <c r="F52" s="3">
        <v>17.283599999999968</v>
      </c>
      <c r="G52" s="3">
        <v>360.78210000000007</v>
      </c>
      <c r="H52" s="3">
        <v>20.874244948969007</v>
      </c>
      <c r="I52" s="3" t="str">
        <f>IF(ROWS($I$22:I52)&lt;=n_T,"Training","Validation")</f>
        <v>Validation</v>
      </c>
      <c r="J52" s="3">
        <f t="shared" ca="1" si="0"/>
        <v>0.51482160022627022</v>
      </c>
      <c r="O52" s="3">
        <f>Data_T3[[#This Row],[A_q]]</f>
        <v>360.78210000000007</v>
      </c>
      <c r="P52" s="3">
        <f ca="1">Data_T3[[#This Row],[A_T]]*$C$11</f>
        <v>345.47594484660743</v>
      </c>
      <c r="Q52" s="3" t="str">
        <f>Data_T3[[#This Row],[T / V]]</f>
        <v>Validation</v>
      </c>
      <c r="R52" s="3">
        <f ca="1">ABS((Estimates_T3[[#This Row],[A_q predicted (b=0)]]-Estimates_T3[[#This Row],[A_q measured]])/Estimates_T3[[#This Row],[A_q measured]])*100</f>
        <v>4.2424929488998027</v>
      </c>
    </row>
    <row r="53" spans="1:18" x14ac:dyDescent="0.3">
      <c r="A53" s="3" t="s">
        <v>11</v>
      </c>
      <c r="B53" s="3">
        <v>170</v>
      </c>
      <c r="C53" s="3" t="s">
        <v>9</v>
      </c>
      <c r="D53" s="3">
        <v>1</v>
      </c>
      <c r="E53" s="3">
        <v>3</v>
      </c>
      <c r="F53" s="3">
        <v>12.285332570093937</v>
      </c>
      <c r="G53" s="3">
        <v>256.57732728687955</v>
      </c>
      <c r="H53" s="3">
        <v>20.884849947934107</v>
      </c>
      <c r="I53" s="3" t="str">
        <f>IF(ROWS($I$22:I53)&lt;=n_T,"Training","Validation")</f>
        <v>Validation</v>
      </c>
      <c r="J53" s="3">
        <f t="shared" ca="1" si="0"/>
        <v>0.67050914792555105</v>
      </c>
      <c r="O53" s="3">
        <f>Data_T3[[#This Row],[A_q]]</f>
        <v>256.57732728687955</v>
      </c>
      <c r="P53" s="3">
        <f ca="1">Data_T3[[#This Row],[A_T]]*$C$11</f>
        <v>245.56729370084997</v>
      </c>
      <c r="Q53" s="3" t="str">
        <f>Data_T3[[#This Row],[T / V]]</f>
        <v>Validation</v>
      </c>
      <c r="R53" s="3">
        <f ca="1">ABS((Estimates_T3[[#This Row],[A_q predicted (b=0)]]-Estimates_T3[[#This Row],[A_q measured]])/Estimates_T3[[#This Row],[A_q measured]])*100</f>
        <v>4.2911171078336325</v>
      </c>
    </row>
    <row r="54" spans="1:18" x14ac:dyDescent="0.3">
      <c r="A54" s="3" t="s">
        <v>11</v>
      </c>
      <c r="B54" s="3">
        <v>170</v>
      </c>
      <c r="C54" s="3" t="s">
        <v>9</v>
      </c>
      <c r="D54" s="3">
        <v>0.5</v>
      </c>
      <c r="E54" s="3">
        <v>3</v>
      </c>
      <c r="F54" s="3">
        <v>14.158822452174912</v>
      </c>
      <c r="G54" s="3">
        <v>270.25498746086953</v>
      </c>
      <c r="H54" s="3">
        <v>19.087391509691273</v>
      </c>
      <c r="I54" s="3" t="str">
        <f>IF(ROWS($I$22:I54)&lt;=n_T,"Training","Validation")</f>
        <v>Validation</v>
      </c>
      <c r="J54" s="3">
        <f t="shared" ca="1" si="0"/>
        <v>0.59317214801291274</v>
      </c>
      <c r="O54" s="3">
        <f>Data_T3[[#This Row],[A_q]]</f>
        <v>270.25498746086953</v>
      </c>
      <c r="P54" s="3">
        <f ca="1">Data_T3[[#This Row],[A_T]]*$C$11</f>
        <v>283.0158395577597</v>
      </c>
      <c r="Q54" s="3" t="str">
        <f>Data_T3[[#This Row],[T / V]]</f>
        <v>Validation</v>
      </c>
      <c r="R54" s="3">
        <f ca="1">ABS((Estimates_T3[[#This Row],[A_q predicted (b=0)]]-Estimates_T3[[#This Row],[A_q measured]])/Estimates_T3[[#This Row],[A_q measured]])*100</f>
        <v>4.7217822756139993</v>
      </c>
    </row>
    <row r="55" spans="1:18" x14ac:dyDescent="0.3">
      <c r="A55" s="3" t="s">
        <v>12</v>
      </c>
      <c r="B55" s="3">
        <v>170</v>
      </c>
      <c r="C55" s="3" t="s">
        <v>10</v>
      </c>
      <c r="D55" s="3">
        <v>1</v>
      </c>
      <c r="E55" s="3">
        <v>3</v>
      </c>
      <c r="F55" s="3">
        <v>7.7994267951314544</v>
      </c>
      <c r="G55" s="3">
        <v>182.63889794765294</v>
      </c>
      <c r="H55" s="3">
        <v>23.416964187888716</v>
      </c>
      <c r="I55" s="3" t="str">
        <f>IF(ROWS($I$22:I55)&lt;=n_T,"Training","Validation")</f>
        <v>Validation</v>
      </c>
      <c r="J55" s="3">
        <f t="shared" ca="1" si="0"/>
        <v>0.91401684171139452</v>
      </c>
      <c r="O55" s="3">
        <f>Data_T3[[#This Row],[A_q]]</f>
        <v>182.63889794765294</v>
      </c>
      <c r="P55" s="3">
        <f ca="1">Data_T3[[#This Row],[A_T]]*$C$11</f>
        <v>155.9000637199421</v>
      </c>
      <c r="Q55" s="3" t="str">
        <f>Data_T3[[#This Row],[T / V]]</f>
        <v>Validation</v>
      </c>
      <c r="R55" s="3">
        <f ca="1">ABS((Estimates_T3[[#This Row],[A_q predicted (b=0)]]-Estimates_T3[[#This Row],[A_q measured]])/Estimates_T3[[#This Row],[A_q measured]])*100</f>
        <v>14.640273527808183</v>
      </c>
    </row>
    <row r="56" spans="1:18" x14ac:dyDescent="0.3">
      <c r="A56" s="3" t="s">
        <v>8</v>
      </c>
      <c r="B56" s="3">
        <v>170</v>
      </c>
      <c r="C56" s="3" t="s">
        <v>9</v>
      </c>
      <c r="D56" s="3">
        <v>1</v>
      </c>
      <c r="E56" s="3">
        <v>2</v>
      </c>
      <c r="F56" s="3">
        <v>9.2355319538814236</v>
      </c>
      <c r="G56" s="3">
        <v>177.19746032724149</v>
      </c>
      <c r="H56" s="3">
        <v>19.186492040966908</v>
      </c>
      <c r="I56" s="3" t="str">
        <f>IF(ROWS($I$22:I56)&lt;=n_T,"Training","Validation")</f>
        <v>Validation</v>
      </c>
      <c r="J56" s="3">
        <f t="shared" ca="1" si="0"/>
        <v>5.4548333988872266E-2</v>
      </c>
      <c r="O56" s="3">
        <f>Data_T3[[#This Row],[A_q]]</f>
        <v>177.19746032724149</v>
      </c>
      <c r="P56" s="3">
        <f ca="1">Data_T3[[#This Row],[A_T]]*$C$11</f>
        <v>184.60587654934304</v>
      </c>
      <c r="Q56" s="3" t="str">
        <f>Data_T3[[#This Row],[T / V]]</f>
        <v>Validation</v>
      </c>
      <c r="R56" s="3">
        <f ca="1">ABS((Estimates_T3[[#This Row],[A_q predicted (b=0)]]-Estimates_T3[[#This Row],[A_q measured]])/Estimates_T3[[#This Row],[A_q measured]])*100</f>
        <v>4.180881717164552</v>
      </c>
    </row>
    <row r="57" spans="1:18" x14ac:dyDescent="0.3">
      <c r="A57" s="3" t="s">
        <v>8</v>
      </c>
      <c r="B57" s="3">
        <v>170</v>
      </c>
      <c r="C57" s="3" t="s">
        <v>10</v>
      </c>
      <c r="D57" s="3">
        <v>0.5</v>
      </c>
      <c r="E57" s="3">
        <v>1</v>
      </c>
      <c r="F57" s="3">
        <v>8.0972999999946342</v>
      </c>
      <c r="G57" s="3">
        <v>166.90619999999905</v>
      </c>
      <c r="H57" s="3">
        <v>20.612574561904541</v>
      </c>
      <c r="I57" s="3" t="str">
        <f>IF(ROWS($I$22:I57)&lt;=n_T,"Training","Validation")</f>
        <v>Validation</v>
      </c>
      <c r="J57" s="3">
        <f t="shared" ca="1" si="0"/>
        <v>2.0903075899010304E-2</v>
      </c>
      <c r="O57" s="3">
        <f>Data_T3[[#This Row],[A_q]]</f>
        <v>166.90619999999905</v>
      </c>
      <c r="P57" s="3">
        <f ca="1">Data_T3[[#This Row],[A_T]]*$C$11</f>
        <v>161.85414891600047</v>
      </c>
      <c r="Q57" s="3" t="str">
        <f>Data_T3[[#This Row],[T / V]]</f>
        <v>Validation</v>
      </c>
      <c r="R57" s="3">
        <f ca="1">ABS((Estimates_T3[[#This Row],[A_q predicted (b=0)]]-Estimates_T3[[#This Row],[A_q measured]])/Estimates_T3[[#This Row],[A_q measured]])*100</f>
        <v>3.0268804178626119</v>
      </c>
    </row>
    <row r="59" spans="1:18" x14ac:dyDescent="0.3">
      <c r="O59" s="2"/>
      <c r="P59" s="2"/>
      <c r="Q59" s="2"/>
      <c r="R59" s="2"/>
    </row>
    <row r="60" spans="1:18" x14ac:dyDescent="0.3">
      <c r="K60" s="3" t="s">
        <v>24</v>
      </c>
      <c r="L60" s="3" t="s">
        <v>25</v>
      </c>
      <c r="O60" s="2"/>
      <c r="P60" s="2"/>
      <c r="Q60" s="2"/>
      <c r="R60" s="2"/>
    </row>
    <row r="61" spans="1:18" x14ac:dyDescent="0.3">
      <c r="A61" s="18" t="str" cm="1">
        <f t="array" aca="1" ref="A61:J85" ca="1">_xlfn._xlws.FILTER(Data_T3[],Data_T3[T / V]="Training")</f>
        <v>RT11</v>
      </c>
      <c r="B61" s="19">
        <f ca="1"/>
        <v>170</v>
      </c>
      <c r="C61" s="19" t="str">
        <f ca="1"/>
        <v>Solidification</v>
      </c>
      <c r="D61" s="19">
        <f ca="1"/>
        <v>1</v>
      </c>
      <c r="E61" s="19">
        <f ca="1"/>
        <v>2</v>
      </c>
      <c r="F61" s="19">
        <f ca="1"/>
        <v>12.414593957682301</v>
      </c>
      <c r="G61" s="19">
        <f ca="1"/>
        <v>251.89549266775174</v>
      </c>
      <c r="H61" s="19">
        <f ca="1"/>
        <v>20.290272362220573</v>
      </c>
      <c r="I61" s="19" t="str">
        <f ca="1"/>
        <v>Training</v>
      </c>
      <c r="J61" s="20">
        <f ca="1"/>
        <v>0.32246516030634031</v>
      </c>
      <c r="K61" s="21">
        <f t="shared" ref="K61:K85" ca="1" si="1">G61-$C$11*F61</f>
        <v>3.7444374814893706</v>
      </c>
      <c r="L61" s="21">
        <f ca="1">G61-AVERAGE($G$61:$G$108)</f>
        <v>13.201822419486632</v>
      </c>
      <c r="M61" s="22"/>
      <c r="N61" s="21"/>
      <c r="O61" s="18" cm="1">
        <f t="array" aca="1" ref="O61:R85" ca="1">_xlfn._xlws.FILTER(Estimates_T3[],Estimates_T3[T / V]="Training")</f>
        <v>251.89549266775174</v>
      </c>
      <c r="P61" s="19">
        <f ca="1"/>
        <v>248.15105518626237</v>
      </c>
      <c r="Q61" s="19" t="str">
        <f ca="1"/>
        <v>Training</v>
      </c>
      <c r="R61" s="19">
        <f ca="1"/>
        <v>1.4865043601348815</v>
      </c>
    </row>
    <row r="62" spans="1:18" x14ac:dyDescent="0.3">
      <c r="A62" s="23" t="str">
        <f ca="1"/>
        <v>RT8</v>
      </c>
      <c r="B62" s="21">
        <f ca="1"/>
        <v>170</v>
      </c>
      <c r="C62" s="21" t="str">
        <f ca="1"/>
        <v>Solidification</v>
      </c>
      <c r="D62" s="21">
        <f ca="1"/>
        <v>0.5</v>
      </c>
      <c r="E62" s="21">
        <f ca="1"/>
        <v>1</v>
      </c>
      <c r="F62" s="21">
        <f ca="1"/>
        <v>9.9350536485328842</v>
      </c>
      <c r="G62" s="21">
        <f ca="1"/>
        <v>186.1133247973641</v>
      </c>
      <c r="H62" s="21">
        <f ca="1"/>
        <v>18.732996456928802</v>
      </c>
      <c r="I62" s="21" t="str">
        <f ca="1"/>
        <v>Training</v>
      </c>
      <c r="J62" s="24">
        <f ca="1"/>
        <v>0.42268672198218127</v>
      </c>
      <c r="K62" s="21">
        <f t="shared" ca="1" si="1"/>
        <v>-12.47505067583819</v>
      </c>
      <c r="L62" s="21">
        <f t="shared" ref="L62:L85" ca="1" si="2">G62-AVERAGE($G$61:$G$108)</f>
        <v>-52.580345450901007</v>
      </c>
      <c r="M62" s="22"/>
      <c r="N62" s="21"/>
      <c r="O62" s="23">
        <f ca="1"/>
        <v>186.1133247973641</v>
      </c>
      <c r="P62" s="21">
        <f ca="1"/>
        <v>198.58837547320229</v>
      </c>
      <c r="Q62" s="21" t="str">
        <f ca="1"/>
        <v>Training</v>
      </c>
      <c r="R62" s="21">
        <f ca="1"/>
        <v>6.702932575849009</v>
      </c>
    </row>
    <row r="63" spans="1:18" x14ac:dyDescent="0.3">
      <c r="A63" s="23" t="str">
        <f ca="1"/>
        <v>RT24</v>
      </c>
      <c r="B63" s="21">
        <f ca="1"/>
        <v>170</v>
      </c>
      <c r="C63" s="21" t="str">
        <f ca="1"/>
        <v>Melting</v>
      </c>
      <c r="D63" s="21">
        <f ca="1"/>
        <v>1</v>
      </c>
      <c r="E63" s="21">
        <f ca="1"/>
        <v>2</v>
      </c>
      <c r="F63" s="21">
        <f ca="1"/>
        <v>11.275199999993378</v>
      </c>
      <c r="G63" s="21">
        <f ca="1"/>
        <v>242.68199999999433</v>
      </c>
      <c r="H63" s="21">
        <f ca="1"/>
        <v>21.523520647096007</v>
      </c>
      <c r="I63" s="21" t="str">
        <f ca="1"/>
        <v>Training</v>
      </c>
      <c r="J63" s="24">
        <f ca="1"/>
        <v>4.1182933341762373E-3</v>
      </c>
      <c r="K63" s="21">
        <f t="shared" ca="1" si="1"/>
        <v>17.305899342018705</v>
      </c>
      <c r="L63" s="21">
        <f t="shared" ca="1" si="2"/>
        <v>3.9883297517292249</v>
      </c>
      <c r="M63" s="22"/>
      <c r="N63" s="21"/>
      <c r="O63" s="23">
        <f ca="1"/>
        <v>242.68199999999433</v>
      </c>
      <c r="P63" s="21">
        <f ca="1"/>
        <v>225.37610065797563</v>
      </c>
      <c r="Q63" s="21" t="str">
        <f ca="1"/>
        <v>Training</v>
      </c>
      <c r="R63" s="21">
        <f ca="1"/>
        <v>7.1311013350883492</v>
      </c>
    </row>
    <row r="64" spans="1:18" x14ac:dyDescent="0.3">
      <c r="A64" s="23" t="str">
        <f ca="1"/>
        <v>RT11</v>
      </c>
      <c r="B64" s="21">
        <f ca="1"/>
        <v>170</v>
      </c>
      <c r="C64" s="21" t="str">
        <f ca="1"/>
        <v>Melting</v>
      </c>
      <c r="D64" s="21">
        <f ca="1"/>
        <v>1</v>
      </c>
      <c r="E64" s="21">
        <f ca="1"/>
        <v>1</v>
      </c>
      <c r="F64" s="21">
        <f ca="1"/>
        <v>11.064381075029758</v>
      </c>
      <c r="G64" s="21">
        <f ca="1"/>
        <v>222.77243533078848</v>
      </c>
      <c r="H64" s="21">
        <f ca="1"/>
        <v>20.134197640168441</v>
      </c>
      <c r="I64" s="21" t="str">
        <f ca="1"/>
        <v>Training</v>
      </c>
      <c r="J64" s="24">
        <f ca="1"/>
        <v>0.16722115743626509</v>
      </c>
      <c r="K64" s="21">
        <f t="shared" ca="1" si="1"/>
        <v>1.6103217642378524</v>
      </c>
      <c r="L64" s="21">
        <f t="shared" ca="1" si="2"/>
        <v>-15.921234917476625</v>
      </c>
      <c r="M64" s="22"/>
      <c r="N64" s="21"/>
      <c r="O64" s="23">
        <f ca="1"/>
        <v>222.77243533078848</v>
      </c>
      <c r="P64" s="21">
        <f ca="1"/>
        <v>221.16211356655063</v>
      </c>
      <c r="Q64" s="21" t="str">
        <f ca="1"/>
        <v>Training</v>
      </c>
      <c r="R64" s="21">
        <f ca="1"/>
        <v>0.72285503448697819</v>
      </c>
    </row>
    <row r="65" spans="1:18" x14ac:dyDescent="0.3">
      <c r="A65" s="23" t="str">
        <f ca="1"/>
        <v>RT11</v>
      </c>
      <c r="B65" s="21">
        <f ca="1"/>
        <v>170</v>
      </c>
      <c r="C65" s="21" t="str">
        <f ca="1"/>
        <v>Solidification</v>
      </c>
      <c r="D65" s="21">
        <f ca="1"/>
        <v>1</v>
      </c>
      <c r="E65" s="21">
        <f ca="1"/>
        <v>1</v>
      </c>
      <c r="F65" s="21">
        <f ca="1"/>
        <v>11.990650156666428</v>
      </c>
      <c r="G65" s="21">
        <f ca="1"/>
        <v>261.17692526275397</v>
      </c>
      <c r="H65" s="21">
        <f ca="1"/>
        <v>21.781715073852585</v>
      </c>
      <c r="I65" s="21" t="str">
        <f ca="1"/>
        <v>Training</v>
      </c>
      <c r="J65" s="24">
        <f ca="1"/>
        <v>0.79812766078737907</v>
      </c>
      <c r="K65" s="21">
        <f t="shared" ca="1" si="1"/>
        <v>21.499937123739926</v>
      </c>
      <c r="L65" s="21">
        <f t="shared" ca="1" si="2"/>
        <v>22.483255014488861</v>
      </c>
      <c r="M65" s="22"/>
      <c r="N65" s="21"/>
      <c r="O65" s="23">
        <f ca="1"/>
        <v>261.17692526275397</v>
      </c>
      <c r="P65" s="21">
        <f ca="1"/>
        <v>239.67698813901404</v>
      </c>
      <c r="Q65" s="21" t="str">
        <f ca="1"/>
        <v>Training</v>
      </c>
      <c r="R65" s="21">
        <f ca="1"/>
        <v>8.2319435769871969</v>
      </c>
    </row>
    <row r="66" spans="1:18" x14ac:dyDescent="0.3">
      <c r="A66" s="23" t="str">
        <f ca="1"/>
        <v>RT24</v>
      </c>
      <c r="B66" s="21">
        <f ca="1"/>
        <v>170</v>
      </c>
      <c r="C66" s="21" t="str">
        <f ca="1"/>
        <v>Melting</v>
      </c>
      <c r="D66" s="21">
        <f ca="1"/>
        <v>0.5</v>
      </c>
      <c r="E66" s="21">
        <f ca="1"/>
        <v>3</v>
      </c>
      <c r="F66" s="21">
        <f ca="1"/>
        <v>12.827573007786603</v>
      </c>
      <c r="G66" s="21">
        <f ca="1"/>
        <v>256.02550949111617</v>
      </c>
      <c r="H66" s="21">
        <f ca="1"/>
        <v>19.958998427504827</v>
      </c>
      <c r="I66" s="21" t="str">
        <f ca="1"/>
        <v>Training</v>
      </c>
      <c r="J66" s="24">
        <f ca="1"/>
        <v>0.21081049669812968</v>
      </c>
      <c r="K66" s="21">
        <f t="shared" ca="1" si="1"/>
        <v>-0.38044210195022288</v>
      </c>
      <c r="L66" s="21">
        <f t="shared" ca="1" si="2"/>
        <v>17.331839242851061</v>
      </c>
      <c r="M66" s="22"/>
      <c r="N66" s="21"/>
      <c r="O66" s="23">
        <f ca="1"/>
        <v>256.02550949111617</v>
      </c>
      <c r="P66" s="21">
        <f ca="1"/>
        <v>256.40595159306639</v>
      </c>
      <c r="Q66" s="21" t="str">
        <f ca="1"/>
        <v>Training</v>
      </c>
      <c r="R66" s="21">
        <f ca="1"/>
        <v>0.14859538907134714</v>
      </c>
    </row>
    <row r="67" spans="1:18" x14ac:dyDescent="0.3">
      <c r="A67" s="23" t="str">
        <f ca="1"/>
        <v>RT24</v>
      </c>
      <c r="B67" s="21">
        <f ca="1"/>
        <v>170</v>
      </c>
      <c r="C67" s="21" t="str">
        <f ca="1"/>
        <v>Solidification</v>
      </c>
      <c r="D67" s="21">
        <f ca="1"/>
        <v>1</v>
      </c>
      <c r="E67" s="21">
        <f ca="1"/>
        <v>2</v>
      </c>
      <c r="F67" s="21">
        <f ca="1"/>
        <v>17.790648849835058</v>
      </c>
      <c r="G67" s="21">
        <f ca="1"/>
        <v>369.31674307917132</v>
      </c>
      <c r="H67" s="21">
        <f ca="1"/>
        <v>20.759037300800603</v>
      </c>
      <c r="I67" s="21" t="str">
        <f ca="1"/>
        <v>Training</v>
      </c>
      <c r="J67" s="24">
        <f ca="1"/>
        <v>0.76786782435158574</v>
      </c>
      <c r="K67" s="21">
        <f t="shared" ca="1" si="1"/>
        <v>13.705572904497785</v>
      </c>
      <c r="L67" s="21">
        <f t="shared" ca="1" si="2"/>
        <v>130.62307283090621</v>
      </c>
      <c r="M67" s="22"/>
      <c r="N67" s="21"/>
      <c r="O67" s="23">
        <f ca="1"/>
        <v>369.31674307917132</v>
      </c>
      <c r="P67" s="21">
        <f ca="1"/>
        <v>355.61117017467353</v>
      </c>
      <c r="Q67" s="21" t="str">
        <f ca="1"/>
        <v>Training</v>
      </c>
      <c r="R67" s="21">
        <f ca="1"/>
        <v>3.7110618896473069</v>
      </c>
    </row>
    <row r="68" spans="1:18" x14ac:dyDescent="0.3">
      <c r="A68" s="23" t="str">
        <f ca="1"/>
        <v>RT8</v>
      </c>
      <c r="B68" s="21">
        <f ca="1"/>
        <v>170</v>
      </c>
      <c r="C68" s="21" t="str">
        <f ca="1"/>
        <v>Melting</v>
      </c>
      <c r="D68" s="21">
        <f ca="1"/>
        <v>1</v>
      </c>
      <c r="E68" s="21">
        <f ca="1"/>
        <v>2</v>
      </c>
      <c r="F68" s="21">
        <f ca="1"/>
        <v>9.3620263278695397</v>
      </c>
      <c r="G68" s="21">
        <f ca="1"/>
        <v>159.24805774971134</v>
      </c>
      <c r="H68" s="21">
        <f ca="1"/>
        <v>17.009998922525028</v>
      </c>
      <c r="I68" s="21" t="str">
        <f ca="1"/>
        <v>Training</v>
      </c>
      <c r="J68" s="24">
        <f ca="1"/>
        <v>0.63301589707613914</v>
      </c>
      <c r="K68" s="21">
        <f t="shared" ca="1" si="1"/>
        <v>-27.886271400439654</v>
      </c>
      <c r="L68" s="21">
        <f t="shared" ca="1" si="2"/>
        <v>-79.445612498553771</v>
      </c>
      <c r="M68" s="22"/>
      <c r="N68" s="21"/>
      <c r="O68" s="23">
        <f ca="1"/>
        <v>159.24805774971134</v>
      </c>
      <c r="P68" s="21">
        <f ca="1"/>
        <v>187.13432915015099</v>
      </c>
      <c r="Q68" s="21" t="str">
        <f ca="1"/>
        <v>Training</v>
      </c>
      <c r="R68" s="21">
        <f ca="1"/>
        <v>17.511216020146534</v>
      </c>
    </row>
    <row r="69" spans="1:18" x14ac:dyDescent="0.3">
      <c r="A69" s="23" t="str">
        <f ca="1"/>
        <v>RT11</v>
      </c>
      <c r="B69" s="21">
        <f ca="1"/>
        <v>170</v>
      </c>
      <c r="C69" s="21" t="str">
        <f ca="1"/>
        <v>Solidification</v>
      </c>
      <c r="D69" s="21">
        <f ca="1"/>
        <v>0.5</v>
      </c>
      <c r="E69" s="21">
        <f ca="1"/>
        <v>1</v>
      </c>
      <c r="F69" s="21">
        <f ca="1"/>
        <v>11.393531322500698</v>
      </c>
      <c r="G69" s="21">
        <f ca="1"/>
        <v>236.18810812499981</v>
      </c>
      <c r="H69" s="21">
        <f ca="1"/>
        <v>20.730017888181866</v>
      </c>
      <c r="I69" s="21" t="str">
        <f ca="1"/>
        <v>Training</v>
      </c>
      <c r="J69" s="24">
        <f ca="1"/>
        <v>0.49852773513651716</v>
      </c>
      <c r="K69" s="21">
        <f t="shared" ca="1" si="1"/>
        <v>8.4467232989015315</v>
      </c>
      <c r="L69" s="21">
        <f t="shared" ca="1" si="2"/>
        <v>-2.5055621232652925</v>
      </c>
      <c r="M69" s="22"/>
      <c r="N69" s="21"/>
      <c r="O69" s="23">
        <f ca="1"/>
        <v>236.18810812499981</v>
      </c>
      <c r="P69" s="21">
        <f ca="1"/>
        <v>227.74138482609828</v>
      </c>
      <c r="Q69" s="21" t="str">
        <f ca="1"/>
        <v>Training</v>
      </c>
      <c r="R69" s="21">
        <f ca="1"/>
        <v>3.5762695107542002</v>
      </c>
    </row>
    <row r="70" spans="1:18" x14ac:dyDescent="0.3">
      <c r="A70" s="23" t="str">
        <f ca="1"/>
        <v>RT8</v>
      </c>
      <c r="B70" s="21">
        <f ca="1"/>
        <v>170</v>
      </c>
      <c r="C70" s="21" t="str">
        <f ca="1"/>
        <v>Solidification</v>
      </c>
      <c r="D70" s="21">
        <f ca="1"/>
        <v>1</v>
      </c>
      <c r="E70" s="21">
        <f ca="1"/>
        <v>1</v>
      </c>
      <c r="F70" s="21">
        <f ca="1"/>
        <v>6.9743999999999957</v>
      </c>
      <c r="G70" s="21">
        <f ca="1"/>
        <v>169.83240000000001</v>
      </c>
      <c r="H70" s="21">
        <f ca="1"/>
        <v>24.350825877494856</v>
      </c>
      <c r="I70" s="21" t="str">
        <f ca="1"/>
        <v>Training</v>
      </c>
      <c r="J70" s="24">
        <f ca="1"/>
        <v>9.8698773333464884E-2</v>
      </c>
      <c r="K70" s="21">
        <f t="shared" ca="1" si="1"/>
        <v>30.423513556308762</v>
      </c>
      <c r="L70" s="21">
        <f t="shared" ca="1" si="2"/>
        <v>-68.8612702482651</v>
      </c>
      <c r="M70" s="22"/>
      <c r="N70" s="21"/>
      <c r="O70" s="23">
        <f ca="1"/>
        <v>169.83240000000001</v>
      </c>
      <c r="P70" s="21">
        <f ca="1"/>
        <v>139.40888644369124</v>
      </c>
      <c r="Q70" s="21" t="str">
        <f ca="1"/>
        <v>Training</v>
      </c>
      <c r="R70" s="21">
        <f ca="1"/>
        <v>17.913845388929769</v>
      </c>
    </row>
    <row r="71" spans="1:18" x14ac:dyDescent="0.3">
      <c r="A71" s="23" t="str">
        <f ca="1"/>
        <v>RT11</v>
      </c>
      <c r="B71" s="21">
        <f ca="1"/>
        <v>170</v>
      </c>
      <c r="C71" s="21" t="str">
        <f ca="1"/>
        <v>Melting</v>
      </c>
      <c r="D71" s="21">
        <f ca="1"/>
        <v>0.5</v>
      </c>
      <c r="E71" s="21">
        <f ca="1"/>
        <v>1</v>
      </c>
      <c r="F71" s="21">
        <f ca="1"/>
        <v>12.236660066643104</v>
      </c>
      <c r="G71" s="21">
        <f ca="1"/>
        <v>246.42412532412126</v>
      </c>
      <c r="H71" s="21">
        <f ca="1"/>
        <v>20.138185091524168</v>
      </c>
      <c r="I71" s="21" t="str">
        <f ca="1"/>
        <v>Training</v>
      </c>
      <c r="J71" s="24">
        <f ca="1"/>
        <v>0.3006565016732704</v>
      </c>
      <c r="K71" s="21">
        <f t="shared" ca="1" si="1"/>
        <v>1.829729579583983</v>
      </c>
      <c r="L71" s="21">
        <f t="shared" ca="1" si="2"/>
        <v>7.7304550758561561</v>
      </c>
      <c r="M71" s="22"/>
      <c r="N71" s="21"/>
      <c r="O71" s="23">
        <f ca="1"/>
        <v>246.42412532412126</v>
      </c>
      <c r="P71" s="21">
        <f ca="1"/>
        <v>244.59439574453728</v>
      </c>
      <c r="Q71" s="21" t="str">
        <f ca="1"/>
        <v>Training</v>
      </c>
      <c r="R71" s="21">
        <f ca="1"/>
        <v>0.74251235636013424</v>
      </c>
    </row>
    <row r="72" spans="1:18" x14ac:dyDescent="0.3">
      <c r="A72" s="23" t="str">
        <f ca="1"/>
        <v>RT24</v>
      </c>
      <c r="B72" s="21">
        <f ca="1"/>
        <v>170</v>
      </c>
      <c r="C72" s="21" t="str">
        <f ca="1"/>
        <v>Solidification</v>
      </c>
      <c r="D72" s="21">
        <f ca="1"/>
        <v>0.5</v>
      </c>
      <c r="E72" s="21">
        <f ca="1"/>
        <v>3</v>
      </c>
      <c r="F72" s="21">
        <f ca="1"/>
        <v>15.972408843058197</v>
      </c>
      <c r="G72" s="21">
        <f ca="1"/>
        <v>309.82490270263128</v>
      </c>
      <c r="H72" s="21">
        <f ca="1"/>
        <v>19.397506396618752</v>
      </c>
      <c r="I72" s="21" t="str">
        <f ca="1"/>
        <v>Training</v>
      </c>
      <c r="J72" s="24">
        <f ca="1"/>
        <v>0.7786846229648986</v>
      </c>
      <c r="K72" s="21">
        <f t="shared" ca="1" si="1"/>
        <v>-9.4420923986120329</v>
      </c>
      <c r="L72" s="21">
        <f t="shared" ca="1" si="2"/>
        <v>71.13123245436617</v>
      </c>
      <c r="M72" s="22"/>
      <c r="N72" s="21"/>
      <c r="O72" s="23">
        <f ca="1"/>
        <v>309.82490270263128</v>
      </c>
      <c r="P72" s="21">
        <f ca="1"/>
        <v>319.26699510124331</v>
      </c>
      <c r="Q72" s="21" t="str">
        <f ca="1"/>
        <v>Training</v>
      </c>
      <c r="R72" s="21">
        <f ca="1"/>
        <v>3.0475576095555224</v>
      </c>
    </row>
    <row r="73" spans="1:18" x14ac:dyDescent="0.3">
      <c r="A73" s="23" t="str">
        <f ca="1"/>
        <v>RT24</v>
      </c>
      <c r="B73" s="21">
        <f ca="1"/>
        <v>170</v>
      </c>
      <c r="C73" s="21" t="str">
        <f ca="1"/>
        <v>Solidification</v>
      </c>
      <c r="D73" s="21">
        <f ca="1"/>
        <v>0.5</v>
      </c>
      <c r="E73" s="21">
        <f ca="1"/>
        <v>1</v>
      </c>
      <c r="F73" s="21">
        <f ca="1"/>
        <v>14.747651848983457</v>
      </c>
      <c r="G73" s="21">
        <f ca="1"/>
        <v>292.58543252599304</v>
      </c>
      <c r="H73" s="21">
        <f ca="1"/>
        <v>19.839458886206398</v>
      </c>
      <c r="I73" s="21" t="str">
        <f ca="1"/>
        <v>Training</v>
      </c>
      <c r="J73" s="24">
        <f ca="1"/>
        <v>0.37281958505067692</v>
      </c>
      <c r="K73" s="21">
        <f t="shared" ca="1" si="1"/>
        <v>-2.2003156281175507</v>
      </c>
      <c r="L73" s="21">
        <f t="shared" ca="1" si="2"/>
        <v>53.891762277727935</v>
      </c>
      <c r="M73" s="22"/>
      <c r="N73" s="21"/>
      <c r="O73" s="23">
        <f ca="1"/>
        <v>292.58543252599304</v>
      </c>
      <c r="P73" s="21">
        <f ca="1"/>
        <v>294.78574815411059</v>
      </c>
      <c r="Q73" s="21" t="str">
        <f ca="1"/>
        <v>Training</v>
      </c>
      <c r="R73" s="21">
        <f ca="1"/>
        <v>0.75202500996767041</v>
      </c>
    </row>
    <row r="74" spans="1:18" x14ac:dyDescent="0.3">
      <c r="A74" s="23" t="str">
        <f ca="1"/>
        <v>RT11</v>
      </c>
      <c r="B74" s="21">
        <f ca="1"/>
        <v>170</v>
      </c>
      <c r="C74" s="21" t="str">
        <f ca="1"/>
        <v>Melting</v>
      </c>
      <c r="D74" s="21">
        <f ca="1"/>
        <v>1</v>
      </c>
      <c r="E74" s="21">
        <f ca="1"/>
        <v>3</v>
      </c>
      <c r="F74" s="21">
        <f ca="1"/>
        <v>11.550733538461678</v>
      </c>
      <c r="G74" s="21">
        <f ca="1"/>
        <v>217.63550879854768</v>
      </c>
      <c r="H74" s="21">
        <f ca="1"/>
        <v>18.84170456134791</v>
      </c>
      <c r="I74" s="21" t="str">
        <f ca="1"/>
        <v>Training</v>
      </c>
      <c r="J74" s="24">
        <f ca="1"/>
        <v>0.78062936388664417</v>
      </c>
      <c r="K74" s="21">
        <f t="shared" ca="1" si="1"/>
        <v>-13.248137135832479</v>
      </c>
      <c r="L74" s="21">
        <f t="shared" ca="1" si="2"/>
        <v>-21.058161449717431</v>
      </c>
      <c r="M74" s="22"/>
      <c r="N74" s="21"/>
      <c r="O74" s="23">
        <f ca="1"/>
        <v>217.63550879854768</v>
      </c>
      <c r="P74" s="21">
        <f ca="1"/>
        <v>230.88364593438016</v>
      </c>
      <c r="Q74" s="21" t="str">
        <f ca="1"/>
        <v>Training</v>
      </c>
      <c r="R74" s="21">
        <f ca="1"/>
        <v>6.0873049664407004</v>
      </c>
    </row>
    <row r="75" spans="1:18" x14ac:dyDescent="0.3">
      <c r="A75" s="23" t="str">
        <f ca="1"/>
        <v>RT11</v>
      </c>
      <c r="B75" s="21">
        <f ca="1"/>
        <v>170</v>
      </c>
      <c r="C75" s="21" t="str">
        <f ca="1"/>
        <v>Melting</v>
      </c>
      <c r="D75" s="21">
        <f ca="1"/>
        <v>0.5</v>
      </c>
      <c r="E75" s="21">
        <f ca="1"/>
        <v>2</v>
      </c>
      <c r="F75" s="21">
        <f ca="1"/>
        <v>12.778499999994182</v>
      </c>
      <c r="G75" s="21">
        <f ca="1"/>
        <v>247.45169999999919</v>
      </c>
      <c r="H75" s="21">
        <f ca="1"/>
        <v>19.364690691404459</v>
      </c>
      <c r="I75" s="21" t="str">
        <f ca="1"/>
        <v>Training</v>
      </c>
      <c r="J75" s="24">
        <f ca="1"/>
        <v>0.57632920135925036</v>
      </c>
      <c r="K75" s="21">
        <f t="shared" ca="1" si="1"/>
        <v>-7.973348093012163</v>
      </c>
      <c r="L75" s="21">
        <f t="shared" ca="1" si="2"/>
        <v>8.7580297517340853</v>
      </c>
      <c r="M75" s="22"/>
      <c r="N75" s="21"/>
      <c r="O75" s="23">
        <f ca="1"/>
        <v>247.45169999999919</v>
      </c>
      <c r="P75" s="21">
        <f ca="1"/>
        <v>255.42504809301136</v>
      </c>
      <c r="Q75" s="21" t="str">
        <f ca="1"/>
        <v>Training</v>
      </c>
      <c r="R75" s="21">
        <f ca="1"/>
        <v>3.2221835990668843</v>
      </c>
    </row>
    <row r="76" spans="1:18" x14ac:dyDescent="0.3">
      <c r="A76" s="23" t="str">
        <f ca="1"/>
        <v>RT24</v>
      </c>
      <c r="B76" s="21">
        <f ca="1"/>
        <v>170</v>
      </c>
      <c r="C76" s="21" t="str">
        <f ca="1"/>
        <v>Melting</v>
      </c>
      <c r="D76" s="21">
        <f ca="1"/>
        <v>1</v>
      </c>
      <c r="E76" s="21">
        <f ca="1"/>
        <v>1</v>
      </c>
      <c r="F76" s="21">
        <f ca="1"/>
        <v>13.042056671598727</v>
      </c>
      <c r="G76" s="21">
        <f ca="1"/>
        <v>266.10625346834951</v>
      </c>
      <c r="H76" s="21">
        <f ca="1"/>
        <v>20.403703201799502</v>
      </c>
      <c r="I76" s="21" t="str">
        <f ca="1"/>
        <v>Training</v>
      </c>
      <c r="J76" s="24">
        <f ca="1"/>
        <v>0.42267079720884215</v>
      </c>
      <c r="K76" s="21">
        <f t="shared" ca="1" si="1"/>
        <v>5.4130615775641218</v>
      </c>
      <c r="L76" s="21">
        <f t="shared" ca="1" si="2"/>
        <v>27.4125832200844</v>
      </c>
      <c r="M76" s="22"/>
      <c r="N76" s="21"/>
      <c r="O76" s="23">
        <f ca="1"/>
        <v>266.10625346834951</v>
      </c>
      <c r="P76" s="21">
        <f ca="1"/>
        <v>260.69319189078539</v>
      </c>
      <c r="Q76" s="21" t="str">
        <f ca="1"/>
        <v>Training</v>
      </c>
      <c r="R76" s="21">
        <f ca="1"/>
        <v>2.0341730068391453</v>
      </c>
    </row>
    <row r="77" spans="1:18" x14ac:dyDescent="0.3">
      <c r="A77" s="23" t="str">
        <f ca="1"/>
        <v>RT24</v>
      </c>
      <c r="B77" s="21">
        <f ca="1"/>
        <v>170</v>
      </c>
      <c r="C77" s="21" t="str">
        <f ca="1"/>
        <v>Solidification</v>
      </c>
      <c r="D77" s="21">
        <f ca="1"/>
        <v>0.5</v>
      </c>
      <c r="E77" s="21">
        <f ca="1"/>
        <v>2</v>
      </c>
      <c r="F77" s="21">
        <f ca="1"/>
        <v>17.790648849835058</v>
      </c>
      <c r="G77" s="21">
        <f ca="1"/>
        <v>369.31674307917132</v>
      </c>
      <c r="H77" s="21">
        <f ca="1"/>
        <v>20.759037300800603</v>
      </c>
      <c r="I77" s="21" t="str">
        <f ca="1"/>
        <v>Training</v>
      </c>
      <c r="J77" s="24">
        <f ca="1"/>
        <v>0.55917019373522914</v>
      </c>
      <c r="K77" s="21">
        <f t="shared" ca="1" si="1"/>
        <v>13.705572904497785</v>
      </c>
      <c r="L77" s="21">
        <f t="shared" ca="1" si="2"/>
        <v>130.62307283090621</v>
      </c>
      <c r="M77" s="22"/>
      <c r="N77" s="21"/>
      <c r="O77" s="23">
        <f ca="1"/>
        <v>369.31674307917132</v>
      </c>
      <c r="P77" s="21">
        <f ca="1"/>
        <v>355.61117017467353</v>
      </c>
      <c r="Q77" s="21" t="str">
        <f ca="1"/>
        <v>Training</v>
      </c>
      <c r="R77" s="21">
        <f ca="1"/>
        <v>3.7110618896473069</v>
      </c>
    </row>
    <row r="78" spans="1:18" x14ac:dyDescent="0.3">
      <c r="A78" s="23" t="str">
        <f ca="1"/>
        <v>RT8</v>
      </c>
      <c r="B78" s="21">
        <f ca="1"/>
        <v>170</v>
      </c>
      <c r="C78" s="21" t="str">
        <f ca="1"/>
        <v>Melting</v>
      </c>
      <c r="D78" s="21">
        <f ca="1"/>
        <v>0.5</v>
      </c>
      <c r="E78" s="21">
        <f ca="1"/>
        <v>3</v>
      </c>
      <c r="F78" s="21">
        <f ca="1"/>
        <v>6.6891725519443357</v>
      </c>
      <c r="G78" s="21">
        <f ca="1"/>
        <v>134.90327528622092</v>
      </c>
      <c r="H78" s="21">
        <f ca="1"/>
        <v>20.167408485674166</v>
      </c>
      <c r="I78" s="21" t="str">
        <f ca="1"/>
        <v>Training</v>
      </c>
      <c r="J78" s="24">
        <f ca="1"/>
        <v>0.9459806634276412</v>
      </c>
      <c r="K78" s="21">
        <f t="shared" ca="1" si="1"/>
        <v>1.1957023485825857</v>
      </c>
      <c r="L78" s="21">
        <f t="shared" ca="1" si="2"/>
        <v>-103.79039496204419</v>
      </c>
      <c r="M78" s="22"/>
      <c r="N78" s="21"/>
      <c r="O78" s="23">
        <f ca="1"/>
        <v>134.90327528622092</v>
      </c>
      <c r="P78" s="21">
        <f ca="1"/>
        <v>133.70757293763833</v>
      </c>
      <c r="Q78" s="21" t="str">
        <f ca="1"/>
        <v>Training</v>
      </c>
      <c r="R78" s="21">
        <f ca="1"/>
        <v>0.88634048806131194</v>
      </c>
    </row>
    <row r="79" spans="1:18" x14ac:dyDescent="0.3">
      <c r="A79" s="23" t="str">
        <f ca="1"/>
        <v>RT11</v>
      </c>
      <c r="B79" s="21">
        <f ca="1"/>
        <v>170</v>
      </c>
      <c r="C79" s="21" t="str">
        <f ca="1"/>
        <v>Melting</v>
      </c>
      <c r="D79" s="21">
        <f ca="1"/>
        <v>1</v>
      </c>
      <c r="E79" s="21">
        <f ca="1"/>
        <v>2</v>
      </c>
      <c r="F79" s="21">
        <f ca="1"/>
        <v>11.370389065312704</v>
      </c>
      <c r="G79" s="21">
        <f ca="1"/>
        <v>218.07088535308668</v>
      </c>
      <c r="H79" s="21">
        <f ca="1"/>
        <v>19.178841119724638</v>
      </c>
      <c r="I79" s="21" t="str">
        <f ca="1"/>
        <v>Training</v>
      </c>
      <c r="J79" s="24">
        <f ca="1"/>
        <v>0.85609155318046293</v>
      </c>
      <c r="K79" s="21">
        <f t="shared" ca="1" si="1"/>
        <v>-9.2079168416208574</v>
      </c>
      <c r="L79" s="21">
        <f t="shared" ca="1" si="2"/>
        <v>-20.622784895178427</v>
      </c>
      <c r="M79" s="22"/>
      <c r="N79" s="21"/>
      <c r="O79" s="23">
        <f ca="1"/>
        <v>218.07088535308668</v>
      </c>
      <c r="P79" s="21">
        <f ca="1"/>
        <v>227.27880219470754</v>
      </c>
      <c r="Q79" s="21" t="str">
        <f ca="1"/>
        <v>Training</v>
      </c>
      <c r="R79" s="21">
        <f ca="1"/>
        <v>4.2224420865316237</v>
      </c>
    </row>
    <row r="80" spans="1:18" x14ac:dyDescent="0.3">
      <c r="A80" s="23" t="str">
        <f ca="1"/>
        <v>RT24</v>
      </c>
      <c r="B80" s="21">
        <f ca="1"/>
        <v>170</v>
      </c>
      <c r="C80" s="21" t="str">
        <f ca="1"/>
        <v>Solidification</v>
      </c>
      <c r="D80" s="21">
        <f ca="1"/>
        <v>1</v>
      </c>
      <c r="E80" s="21">
        <f ca="1"/>
        <v>1</v>
      </c>
      <c r="F80" s="21">
        <f ca="1"/>
        <v>19.086000000000098</v>
      </c>
      <c r="G80" s="21">
        <f ca="1"/>
        <v>387.39479999999998</v>
      </c>
      <c r="H80" s="21">
        <f ca="1"/>
        <v>20.297327884313002</v>
      </c>
      <c r="I80" s="21" t="str">
        <f ca="1"/>
        <v>Training</v>
      </c>
      <c r="J80" s="24">
        <f ca="1"/>
        <v>0.62764259744336348</v>
      </c>
      <c r="K80" s="21">
        <f t="shared" ca="1" si="1"/>
        <v>5.8913005356293979</v>
      </c>
      <c r="L80" s="21">
        <f t="shared" ca="1" si="2"/>
        <v>148.70112975173487</v>
      </c>
      <c r="M80" s="22"/>
      <c r="N80" s="21"/>
      <c r="O80" s="23">
        <f ca="1"/>
        <v>387.39479999999998</v>
      </c>
      <c r="P80" s="21">
        <f ca="1"/>
        <v>381.50349946437058</v>
      </c>
      <c r="Q80" s="21" t="str">
        <f ca="1"/>
        <v>Training</v>
      </c>
      <c r="R80" s="21">
        <f ca="1"/>
        <v>1.5207484807822402</v>
      </c>
    </row>
    <row r="81" spans="1:18" x14ac:dyDescent="0.3">
      <c r="A81" s="23" t="str">
        <f ca="1"/>
        <v>RT8</v>
      </c>
      <c r="B81" s="21">
        <f ca="1"/>
        <v>170</v>
      </c>
      <c r="C81" s="21" t="str">
        <f ca="1"/>
        <v>Solidification</v>
      </c>
      <c r="D81" s="21">
        <f ca="1"/>
        <v>0.5</v>
      </c>
      <c r="E81" s="21">
        <f ca="1"/>
        <v>2</v>
      </c>
      <c r="F81" s="21">
        <f ca="1"/>
        <v>8.9898000000008071</v>
      </c>
      <c r="G81" s="21">
        <f ca="1"/>
        <v>184.20239999999984</v>
      </c>
      <c r="H81" s="21">
        <f ca="1"/>
        <v>20.490155509575661</v>
      </c>
      <c r="I81" s="21" t="str">
        <f ca="1"/>
        <v>Training</v>
      </c>
      <c r="J81" s="24">
        <f ca="1"/>
        <v>7.6982753502931378E-2</v>
      </c>
      <c r="K81" s="21">
        <f t="shared" ca="1" si="1"/>
        <v>4.5083750872319115</v>
      </c>
      <c r="L81" s="21">
        <f t="shared" ca="1" si="2"/>
        <v>-54.491270248265266</v>
      </c>
      <c r="M81" s="22"/>
      <c r="N81" s="21"/>
      <c r="O81" s="23">
        <f ca="1"/>
        <v>184.20239999999984</v>
      </c>
      <c r="P81" s="21">
        <f ca="1"/>
        <v>179.69402491276793</v>
      </c>
      <c r="Q81" s="21" t="str">
        <f ca="1"/>
        <v>Training</v>
      </c>
      <c r="R81" s="21">
        <f ca="1"/>
        <v>2.4475115890085664</v>
      </c>
    </row>
    <row r="82" spans="1:18" x14ac:dyDescent="0.3">
      <c r="A82" s="23" t="str">
        <f ca="1"/>
        <v>RT8</v>
      </c>
      <c r="B82" s="21">
        <f ca="1"/>
        <v>170</v>
      </c>
      <c r="C82" s="21" t="str">
        <f ca="1"/>
        <v>Solidification</v>
      </c>
      <c r="D82" s="21">
        <f ca="1"/>
        <v>1</v>
      </c>
      <c r="E82" s="21">
        <f ca="1"/>
        <v>3</v>
      </c>
      <c r="F82" s="21">
        <f ca="1"/>
        <v>11.346010588618963</v>
      </c>
      <c r="G82" s="21">
        <f ca="1"/>
        <v>205.62869365733505</v>
      </c>
      <c r="H82" s="21">
        <f ca="1"/>
        <v>18.123435726703669</v>
      </c>
      <c r="I82" s="21" t="str">
        <f ca="1"/>
        <v>Training</v>
      </c>
      <c r="J82" s="24">
        <f ca="1"/>
        <v>0.73609390101221461</v>
      </c>
      <c r="K82" s="21">
        <f t="shared" ca="1" si="1"/>
        <v>-21.162815538825242</v>
      </c>
      <c r="L82" s="21">
        <f t="shared" ca="1" si="2"/>
        <v>-33.064976590930058</v>
      </c>
      <c r="M82" s="22"/>
      <c r="N82" s="21"/>
      <c r="O82" s="23">
        <f ca="1"/>
        <v>205.62869365733505</v>
      </c>
      <c r="P82" s="21">
        <f ca="1"/>
        <v>226.79150919616029</v>
      </c>
      <c r="Q82" s="21" t="str">
        <f ca="1"/>
        <v>Training</v>
      </c>
      <c r="R82" s="21">
        <f ca="1"/>
        <v>10.29176189490923</v>
      </c>
    </row>
    <row r="83" spans="1:18" x14ac:dyDescent="0.3">
      <c r="A83" s="23" t="str">
        <f ca="1"/>
        <v>RT11</v>
      </c>
      <c r="B83" s="21">
        <f ca="1"/>
        <v>170</v>
      </c>
      <c r="C83" s="21" t="str">
        <f ca="1"/>
        <v>Melting</v>
      </c>
      <c r="D83" s="21">
        <f ca="1"/>
        <v>0.5</v>
      </c>
      <c r="E83" s="21">
        <f ca="1"/>
        <v>3</v>
      </c>
      <c r="F83" s="21">
        <f ca="1"/>
        <v>13.394999999995163</v>
      </c>
      <c r="G83" s="21">
        <f ca="1"/>
        <v>240.30809999999769</v>
      </c>
      <c r="H83" s="21">
        <f ca="1"/>
        <v>17.940134378505746</v>
      </c>
      <c r="I83" s="21" t="str">
        <f ca="1"/>
        <v>Training</v>
      </c>
      <c r="J83" s="24">
        <f ca="1"/>
        <v>0.93853702962200292</v>
      </c>
      <c r="K83" s="21">
        <f t="shared" ca="1" si="1"/>
        <v>-27.439954873908448</v>
      </c>
      <c r="L83" s="21">
        <f t="shared" ca="1" si="2"/>
        <v>1.6144297517325867</v>
      </c>
      <c r="M83" s="22"/>
      <c r="N83" s="21"/>
      <c r="O83" s="23">
        <f ca="1"/>
        <v>240.30809999999769</v>
      </c>
      <c r="P83" s="21">
        <f ca="1"/>
        <v>267.74805487390614</v>
      </c>
      <c r="Q83" s="21" t="str">
        <f ca="1"/>
        <v>Training</v>
      </c>
      <c r="R83" s="21">
        <f ca="1"/>
        <v>11.418655831371773</v>
      </c>
    </row>
    <row r="84" spans="1:18" x14ac:dyDescent="0.3">
      <c r="A84" s="23" t="str">
        <f ca="1"/>
        <v>RT8</v>
      </c>
      <c r="B84" s="21">
        <f ca="1"/>
        <v>170</v>
      </c>
      <c r="C84" s="21" t="str">
        <f ca="1"/>
        <v>Melting</v>
      </c>
      <c r="D84" s="21">
        <f ca="1"/>
        <v>1</v>
      </c>
      <c r="E84" s="21">
        <f ca="1"/>
        <v>3</v>
      </c>
      <c r="F84" s="21">
        <f ca="1"/>
        <v>7.872829771852226</v>
      </c>
      <c r="G84" s="21">
        <f ca="1"/>
        <v>156.15565369073173</v>
      </c>
      <c r="H84" s="21">
        <f ca="1"/>
        <v>19.834755509262493</v>
      </c>
      <c r="I84" s="21" t="str">
        <f ca="1"/>
        <v>Training</v>
      </c>
      <c r="J84" s="24">
        <f ca="1"/>
        <v>0.85478417857379529</v>
      </c>
      <c r="K84" s="21">
        <f t="shared" ca="1" si="1"/>
        <v>-1.2116369227488804</v>
      </c>
      <c r="L84" s="21">
        <f t="shared" ca="1" si="2"/>
        <v>-82.538016557533382</v>
      </c>
      <c r="M84" s="22"/>
      <c r="N84" s="21"/>
      <c r="O84" s="23">
        <f ca="1"/>
        <v>156.15565369073173</v>
      </c>
      <c r="P84" s="21">
        <f ca="1"/>
        <v>157.36729061348061</v>
      </c>
      <c r="Q84" s="21" t="str">
        <f ca="1"/>
        <v>Training</v>
      </c>
      <c r="R84" s="21">
        <f ca="1"/>
        <v>0.77591614143445797</v>
      </c>
    </row>
    <row r="85" spans="1:18" x14ac:dyDescent="0.3">
      <c r="A85" s="23" t="str">
        <f ca="1"/>
        <v>RT8</v>
      </c>
      <c r="B85" s="21">
        <f ca="1"/>
        <v>170</v>
      </c>
      <c r="C85" s="21" t="str">
        <f ca="1"/>
        <v>Melting</v>
      </c>
      <c r="D85" s="21">
        <f ca="1"/>
        <v>0.5</v>
      </c>
      <c r="E85" s="21">
        <f ca="1"/>
        <v>2</v>
      </c>
      <c r="F85" s="21">
        <f ca="1"/>
        <v>6.9327748784655023</v>
      </c>
      <c r="G85" s="21">
        <f ca="1"/>
        <v>136.08228581679037</v>
      </c>
      <c r="H85" s="21">
        <f ca="1"/>
        <v>19.62883379344791</v>
      </c>
      <c r="I85" s="21" t="str">
        <f ca="1"/>
        <v>Training</v>
      </c>
      <c r="J85" s="24">
        <f ca="1"/>
        <v>2.8887068768781443E-3</v>
      </c>
      <c r="K85" s="21">
        <f t="shared" ca="1" si="1"/>
        <v>-2.4945703674940205</v>
      </c>
      <c r="L85" s="21">
        <f t="shared" ca="1" si="2"/>
        <v>-102.61138443147473</v>
      </c>
      <c r="M85" s="22"/>
      <c r="N85" s="21"/>
      <c r="O85" s="23">
        <f ca="1"/>
        <v>136.08228581679037</v>
      </c>
      <c r="P85" s="21">
        <f ca="1"/>
        <v>138.5768561842844</v>
      </c>
      <c r="Q85" s="21" t="str">
        <f ca="1"/>
        <v>Training</v>
      </c>
      <c r="R85" s="21">
        <f ca="1"/>
        <v>1.8331337929262139</v>
      </c>
    </row>
    <row r="86" spans="1:18" x14ac:dyDescent="0.3">
      <c r="A86" s="23"/>
      <c r="B86" s="21"/>
      <c r="C86" s="21"/>
      <c r="D86" s="21"/>
      <c r="E86" s="21"/>
      <c r="F86" s="21"/>
      <c r="G86" s="21"/>
      <c r="H86" s="21"/>
      <c r="I86" s="21"/>
      <c r="J86" s="24"/>
      <c r="K86" s="21"/>
      <c r="L86" s="21"/>
      <c r="M86" s="22"/>
      <c r="N86" s="21"/>
      <c r="O86" s="23"/>
      <c r="P86" s="21"/>
      <c r="Q86" s="21"/>
      <c r="R86" s="21"/>
    </row>
    <row r="87" spans="1:18" x14ac:dyDescent="0.3">
      <c r="A87" s="23"/>
      <c r="B87" s="21"/>
      <c r="C87" s="21"/>
      <c r="D87" s="21"/>
      <c r="E87" s="21"/>
      <c r="F87" s="21"/>
      <c r="G87" s="21"/>
      <c r="H87" s="21"/>
      <c r="I87" s="21"/>
      <c r="J87" s="24"/>
      <c r="K87" s="21"/>
      <c r="L87" s="21"/>
      <c r="M87" s="22"/>
      <c r="N87" s="21"/>
      <c r="O87" s="23"/>
      <c r="P87" s="21"/>
      <c r="Q87" s="21"/>
      <c r="R87" s="21"/>
    </row>
    <row r="88" spans="1:18" x14ac:dyDescent="0.3">
      <c r="A88" s="23"/>
      <c r="B88" s="21"/>
      <c r="C88" s="21"/>
      <c r="D88" s="21"/>
      <c r="E88" s="21"/>
      <c r="F88" s="21"/>
      <c r="G88" s="21"/>
      <c r="H88" s="21"/>
      <c r="I88" s="21"/>
      <c r="J88" s="24"/>
      <c r="K88" s="21"/>
      <c r="L88" s="21"/>
      <c r="M88" s="22"/>
      <c r="N88" s="21"/>
      <c r="O88" s="23"/>
      <c r="P88" s="21"/>
      <c r="Q88" s="21"/>
      <c r="R88" s="21"/>
    </row>
    <row r="89" spans="1:18" x14ac:dyDescent="0.3">
      <c r="A89" s="23"/>
      <c r="B89" s="21"/>
      <c r="C89" s="21"/>
      <c r="D89" s="21"/>
      <c r="E89" s="21"/>
      <c r="F89" s="21"/>
      <c r="G89" s="21"/>
      <c r="H89" s="21"/>
      <c r="I89" s="21"/>
      <c r="J89" s="24"/>
      <c r="K89" s="21"/>
      <c r="L89" s="21"/>
      <c r="M89" s="22"/>
      <c r="N89" s="21"/>
      <c r="O89" s="23"/>
      <c r="P89" s="21"/>
      <c r="Q89" s="21"/>
      <c r="R89" s="21"/>
    </row>
    <row r="90" spans="1:18" x14ac:dyDescent="0.3">
      <c r="A90" s="23"/>
      <c r="B90" s="21"/>
      <c r="C90" s="21"/>
      <c r="D90" s="21"/>
      <c r="E90" s="21"/>
      <c r="F90" s="21"/>
      <c r="G90" s="21"/>
      <c r="H90" s="21"/>
      <c r="I90" s="21"/>
      <c r="J90" s="24"/>
      <c r="K90" s="21"/>
      <c r="L90" s="21"/>
      <c r="M90" s="22"/>
      <c r="N90" s="21"/>
      <c r="O90" s="23"/>
      <c r="P90" s="21"/>
      <c r="Q90" s="21"/>
      <c r="R90" s="21"/>
    </row>
    <row r="91" spans="1:18" x14ac:dyDescent="0.3">
      <c r="A91" s="23"/>
      <c r="B91" s="21"/>
      <c r="C91" s="21"/>
      <c r="D91" s="21"/>
      <c r="E91" s="21"/>
      <c r="F91" s="21"/>
      <c r="G91" s="21"/>
      <c r="H91" s="21"/>
      <c r="I91" s="21"/>
      <c r="J91" s="24"/>
      <c r="K91" s="21"/>
      <c r="L91" s="21"/>
      <c r="M91" s="22"/>
      <c r="N91" s="21"/>
      <c r="O91" s="23"/>
      <c r="P91" s="21"/>
      <c r="Q91" s="21"/>
      <c r="R91" s="21"/>
    </row>
    <row r="92" spans="1:18" x14ac:dyDescent="0.3">
      <c r="A92" s="23"/>
      <c r="B92" s="21"/>
      <c r="C92" s="21"/>
      <c r="D92" s="21"/>
      <c r="E92" s="21"/>
      <c r="F92" s="21"/>
      <c r="G92" s="21"/>
      <c r="H92" s="21"/>
      <c r="I92" s="21"/>
      <c r="J92" s="24"/>
      <c r="K92" s="21"/>
      <c r="L92" s="21"/>
      <c r="M92" s="22"/>
      <c r="N92" s="21"/>
      <c r="O92" s="23"/>
      <c r="P92" s="21"/>
      <c r="Q92" s="21"/>
      <c r="R92" s="21"/>
    </row>
    <row r="93" spans="1:18" x14ac:dyDescent="0.3">
      <c r="A93" s="23"/>
      <c r="B93" s="21"/>
      <c r="C93" s="21"/>
      <c r="D93" s="21"/>
      <c r="E93" s="21"/>
      <c r="F93" s="21"/>
      <c r="G93" s="21"/>
      <c r="H93" s="21"/>
      <c r="I93" s="21"/>
      <c r="J93" s="24"/>
      <c r="K93" s="21"/>
      <c r="L93" s="21"/>
      <c r="M93" s="22"/>
      <c r="N93" s="21"/>
      <c r="O93" s="23"/>
      <c r="P93" s="21"/>
      <c r="Q93" s="21"/>
      <c r="R93" s="21"/>
    </row>
    <row r="94" spans="1:18" x14ac:dyDescent="0.3">
      <c r="A94" s="23"/>
      <c r="B94" s="21"/>
      <c r="C94" s="21"/>
      <c r="D94" s="21"/>
      <c r="E94" s="21"/>
      <c r="F94" s="21"/>
      <c r="G94" s="21"/>
      <c r="H94" s="21"/>
      <c r="I94" s="21"/>
      <c r="J94" s="24"/>
      <c r="K94" s="21"/>
      <c r="L94" s="21"/>
      <c r="M94" s="22"/>
      <c r="N94" s="21"/>
      <c r="O94" s="23"/>
      <c r="P94" s="21"/>
      <c r="Q94" s="21"/>
      <c r="R94" s="21"/>
    </row>
    <row r="95" spans="1:18" x14ac:dyDescent="0.3">
      <c r="A95" s="23"/>
      <c r="B95" s="21"/>
      <c r="C95" s="21"/>
      <c r="D95" s="21"/>
      <c r="E95" s="21"/>
      <c r="F95" s="21"/>
      <c r="G95" s="21"/>
      <c r="H95" s="21"/>
      <c r="I95" s="21"/>
      <c r="J95" s="24"/>
      <c r="K95" s="21"/>
      <c r="L95" s="21"/>
      <c r="M95" s="22"/>
      <c r="N95" s="21"/>
      <c r="O95" s="23"/>
      <c r="P95" s="21"/>
      <c r="Q95" s="21"/>
      <c r="R95" s="21"/>
    </row>
    <row r="96" spans="1:18" x14ac:dyDescent="0.3">
      <c r="A96" s="23"/>
      <c r="B96" s="21"/>
      <c r="C96" s="21"/>
      <c r="D96" s="21"/>
      <c r="E96" s="21"/>
      <c r="F96" s="21"/>
      <c r="G96" s="21"/>
      <c r="H96" s="21"/>
      <c r="I96" s="21"/>
      <c r="J96" s="24"/>
      <c r="K96" s="21"/>
      <c r="L96" s="21"/>
      <c r="M96" s="22"/>
      <c r="N96" s="21"/>
      <c r="O96" s="23"/>
      <c r="P96" s="21"/>
      <c r="Q96" s="21"/>
      <c r="R96" s="21"/>
    </row>
    <row r="97" spans="1:18" x14ac:dyDescent="0.3">
      <c r="A97" s="23"/>
      <c r="B97" s="21"/>
      <c r="C97" s="21"/>
      <c r="D97" s="21"/>
      <c r="E97" s="21"/>
      <c r="F97" s="21"/>
      <c r="G97" s="21"/>
      <c r="H97" s="21"/>
      <c r="I97" s="21"/>
      <c r="J97" s="24"/>
      <c r="K97" s="21"/>
      <c r="L97" s="21"/>
      <c r="M97" s="22"/>
      <c r="N97" s="21"/>
      <c r="O97" s="23"/>
      <c r="P97" s="21"/>
      <c r="Q97" s="21"/>
      <c r="R97" s="21"/>
    </row>
    <row r="98" spans="1:18" x14ac:dyDescent="0.3">
      <c r="A98" s="23"/>
      <c r="B98" s="21"/>
      <c r="C98" s="21"/>
      <c r="D98" s="21"/>
      <c r="E98" s="21"/>
      <c r="F98" s="21"/>
      <c r="G98" s="21"/>
      <c r="H98" s="21"/>
      <c r="I98" s="21"/>
      <c r="J98" s="24"/>
      <c r="K98" s="21"/>
      <c r="L98" s="21"/>
      <c r="M98" s="22"/>
      <c r="N98" s="21"/>
      <c r="O98" s="23"/>
      <c r="P98" s="21"/>
      <c r="Q98" s="21"/>
      <c r="R98" s="21"/>
    </row>
    <row r="99" spans="1:18" x14ac:dyDescent="0.3">
      <c r="A99" s="23"/>
      <c r="B99" s="21"/>
      <c r="C99" s="21"/>
      <c r="D99" s="21"/>
      <c r="E99" s="21"/>
      <c r="F99" s="21"/>
      <c r="G99" s="21"/>
      <c r="H99" s="21"/>
      <c r="I99" s="21"/>
      <c r="J99" s="24"/>
      <c r="K99" s="21"/>
      <c r="L99" s="21"/>
      <c r="M99" s="22"/>
      <c r="N99" s="21"/>
      <c r="O99" s="23"/>
      <c r="P99" s="21"/>
      <c r="Q99" s="21"/>
      <c r="R99" s="21"/>
    </row>
    <row r="100" spans="1:18" x14ac:dyDescent="0.3">
      <c r="A100" s="23"/>
      <c r="B100" s="21"/>
      <c r="C100" s="21"/>
      <c r="D100" s="21"/>
      <c r="E100" s="21"/>
      <c r="F100" s="21"/>
      <c r="G100" s="21"/>
      <c r="H100" s="21"/>
      <c r="I100" s="21"/>
      <c r="J100" s="24"/>
      <c r="K100" s="21"/>
      <c r="L100" s="21"/>
      <c r="M100" s="22"/>
      <c r="N100" s="21"/>
      <c r="O100" s="23"/>
      <c r="P100" s="21"/>
      <c r="Q100" s="21"/>
      <c r="R100" s="21"/>
    </row>
    <row r="101" spans="1:18" x14ac:dyDescent="0.3">
      <c r="A101" s="23"/>
      <c r="B101" s="21"/>
      <c r="C101" s="21"/>
      <c r="D101" s="21"/>
      <c r="E101" s="21"/>
      <c r="F101" s="21"/>
      <c r="G101" s="21"/>
      <c r="H101" s="21"/>
      <c r="I101" s="21"/>
      <c r="J101" s="24"/>
      <c r="K101" s="21"/>
      <c r="L101" s="21"/>
      <c r="M101" s="22"/>
      <c r="N101" s="21"/>
      <c r="O101" s="23"/>
      <c r="P101" s="21"/>
      <c r="Q101" s="21"/>
      <c r="R101" s="21"/>
    </row>
    <row r="102" spans="1:18" x14ac:dyDescent="0.3">
      <c r="A102" s="23"/>
      <c r="B102" s="21"/>
      <c r="C102" s="21"/>
      <c r="D102" s="21"/>
      <c r="E102" s="21"/>
      <c r="F102" s="21"/>
      <c r="G102" s="21"/>
      <c r="H102" s="21"/>
      <c r="I102" s="21"/>
      <c r="J102" s="24"/>
      <c r="K102" s="21"/>
      <c r="L102" s="21"/>
      <c r="M102" s="22"/>
      <c r="N102" s="21"/>
      <c r="O102" s="23"/>
      <c r="P102" s="21"/>
      <c r="Q102" s="21"/>
      <c r="R102" s="21"/>
    </row>
    <row r="103" spans="1:18" x14ac:dyDescent="0.3">
      <c r="A103" s="23"/>
      <c r="B103" s="21"/>
      <c r="C103" s="21"/>
      <c r="D103" s="21"/>
      <c r="E103" s="21"/>
      <c r="F103" s="21"/>
      <c r="G103" s="21"/>
      <c r="H103" s="21"/>
      <c r="I103" s="21"/>
      <c r="J103" s="24"/>
      <c r="K103" s="21"/>
      <c r="L103" s="21"/>
      <c r="M103" s="22"/>
      <c r="N103" s="21"/>
      <c r="O103" s="23"/>
      <c r="P103" s="21"/>
      <c r="Q103" s="21"/>
      <c r="R103" s="21"/>
    </row>
    <row r="104" spans="1:18" x14ac:dyDescent="0.3">
      <c r="A104" s="23"/>
      <c r="B104" s="21"/>
      <c r="C104" s="21"/>
      <c r="D104" s="21"/>
      <c r="E104" s="21"/>
      <c r="F104" s="21"/>
      <c r="G104" s="21"/>
      <c r="H104" s="21"/>
      <c r="I104" s="21"/>
      <c r="J104" s="24"/>
      <c r="K104" s="21"/>
      <c r="L104" s="21"/>
      <c r="M104" s="22"/>
      <c r="N104" s="21"/>
      <c r="O104" s="23"/>
      <c r="P104" s="21"/>
      <c r="Q104" s="21"/>
      <c r="R104" s="21"/>
    </row>
    <row r="105" spans="1:18" x14ac:dyDescent="0.3">
      <c r="A105" s="23"/>
      <c r="B105" s="21"/>
      <c r="C105" s="21"/>
      <c r="D105" s="21"/>
      <c r="E105" s="21"/>
      <c r="F105" s="21"/>
      <c r="G105" s="21"/>
      <c r="H105" s="21"/>
      <c r="I105" s="21"/>
      <c r="J105" s="24"/>
      <c r="K105" s="21"/>
      <c r="L105" s="21"/>
      <c r="M105" s="22"/>
      <c r="N105" s="21"/>
      <c r="O105" s="23"/>
      <c r="P105" s="21"/>
      <c r="Q105" s="21"/>
      <c r="R105" s="21"/>
    </row>
    <row r="106" spans="1:18" x14ac:dyDescent="0.3">
      <c r="A106" s="23"/>
      <c r="B106" s="21"/>
      <c r="C106" s="21"/>
      <c r="D106" s="21"/>
      <c r="E106" s="21"/>
      <c r="F106" s="21"/>
      <c r="G106" s="21"/>
      <c r="H106" s="21"/>
      <c r="I106" s="21"/>
      <c r="J106" s="24"/>
      <c r="K106" s="21"/>
      <c r="L106" s="21"/>
      <c r="M106" s="22"/>
      <c r="N106" s="21"/>
      <c r="O106" s="23"/>
      <c r="P106" s="21"/>
      <c r="Q106" s="21"/>
      <c r="R106" s="21"/>
    </row>
    <row r="107" spans="1:18" x14ac:dyDescent="0.3">
      <c r="A107" s="23"/>
      <c r="B107" s="21"/>
      <c r="C107" s="21"/>
      <c r="D107" s="21"/>
      <c r="E107" s="21"/>
      <c r="F107" s="21"/>
      <c r="G107" s="21"/>
      <c r="H107" s="21"/>
      <c r="I107" s="21"/>
      <c r="J107" s="24"/>
      <c r="K107" s="21"/>
      <c r="L107" s="21"/>
      <c r="M107" s="22"/>
      <c r="N107" s="21"/>
      <c r="O107" s="23"/>
      <c r="P107" s="21"/>
      <c r="Q107" s="21"/>
      <c r="R107" s="21"/>
    </row>
    <row r="108" spans="1:18" x14ac:dyDescent="0.3">
      <c r="A108" s="23"/>
      <c r="B108" s="21"/>
      <c r="C108" s="21"/>
      <c r="D108" s="21"/>
      <c r="E108" s="21"/>
      <c r="F108" s="21"/>
      <c r="G108" s="21"/>
      <c r="H108" s="21"/>
      <c r="I108" s="21"/>
      <c r="J108" s="24"/>
      <c r="K108" s="21"/>
      <c r="L108" s="21"/>
      <c r="M108" s="22"/>
      <c r="N108" s="21"/>
      <c r="O108" s="23"/>
      <c r="P108" s="21"/>
      <c r="Q108" s="21"/>
      <c r="R108" s="21"/>
    </row>
    <row r="109" spans="1:18" x14ac:dyDescent="0.3">
      <c r="A109" s="23"/>
      <c r="B109" s="21"/>
      <c r="C109" s="21"/>
      <c r="D109" s="21"/>
      <c r="E109" s="21"/>
      <c r="F109" s="21"/>
      <c r="G109" s="21"/>
      <c r="H109" s="21"/>
      <c r="I109" s="21"/>
      <c r="J109" s="24"/>
      <c r="K109" s="21"/>
      <c r="L109" s="21"/>
      <c r="M109" s="22"/>
      <c r="N109" s="21"/>
      <c r="O109" s="23"/>
      <c r="P109" s="21"/>
      <c r="Q109" s="21"/>
      <c r="R109" s="21"/>
    </row>
    <row r="110" spans="1:18" x14ac:dyDescent="0.3">
      <c r="A110" s="23"/>
      <c r="B110" s="21"/>
      <c r="C110" s="21"/>
      <c r="D110" s="21"/>
      <c r="E110" s="21"/>
      <c r="F110" s="21"/>
      <c r="G110" s="21"/>
      <c r="H110" s="21"/>
      <c r="I110" s="21"/>
      <c r="J110" s="24"/>
      <c r="K110" s="21"/>
      <c r="L110" s="21"/>
      <c r="M110" s="22"/>
      <c r="N110" s="21"/>
      <c r="O110" s="23"/>
      <c r="P110" s="21"/>
      <c r="Q110" s="21"/>
      <c r="R110" s="21"/>
    </row>
    <row r="111" spans="1:18" x14ac:dyDescent="0.3">
      <c r="A111" s="23"/>
      <c r="B111" s="21"/>
      <c r="C111" s="21"/>
      <c r="D111" s="21"/>
      <c r="E111" s="21"/>
      <c r="F111" s="21"/>
      <c r="G111" s="21"/>
      <c r="H111" s="21"/>
      <c r="I111" s="21"/>
      <c r="J111" s="24"/>
      <c r="K111" s="21"/>
      <c r="L111" s="21"/>
      <c r="M111" s="22"/>
      <c r="N111" s="21"/>
      <c r="O111" s="23"/>
      <c r="P111" s="21"/>
      <c r="Q111" s="21"/>
      <c r="R111" s="21"/>
    </row>
    <row r="112" spans="1:18" x14ac:dyDescent="0.3">
      <c r="A112" s="23"/>
      <c r="B112" s="21"/>
      <c r="C112" s="21"/>
      <c r="D112" s="21"/>
      <c r="E112" s="21"/>
      <c r="F112" s="21"/>
      <c r="G112" s="21"/>
      <c r="H112" s="21"/>
      <c r="I112" s="21"/>
      <c r="J112" s="24"/>
      <c r="K112" s="21"/>
      <c r="L112" s="21"/>
      <c r="M112" s="22"/>
      <c r="N112" s="21"/>
      <c r="O112" s="23"/>
      <c r="P112" s="21"/>
      <c r="Q112" s="21"/>
      <c r="R112" s="21"/>
    </row>
    <row r="113" spans="1:18" x14ac:dyDescent="0.3">
      <c r="A113" s="23"/>
      <c r="B113" s="21"/>
      <c r="C113" s="21"/>
      <c r="D113" s="21"/>
      <c r="E113" s="21"/>
      <c r="F113" s="21"/>
      <c r="G113" s="21"/>
      <c r="H113" s="21"/>
      <c r="I113" s="21"/>
      <c r="J113" s="24"/>
      <c r="K113" s="21"/>
      <c r="L113" s="21"/>
      <c r="M113" s="22"/>
      <c r="N113" s="21"/>
      <c r="O113" s="23"/>
      <c r="P113" s="21"/>
      <c r="Q113" s="21"/>
      <c r="R113" s="21"/>
    </row>
    <row r="114" spans="1:18" x14ac:dyDescent="0.3">
      <c r="A114" s="23"/>
      <c r="B114" s="21"/>
      <c r="C114" s="21"/>
      <c r="D114" s="21"/>
      <c r="E114" s="21"/>
      <c r="F114" s="21"/>
      <c r="G114" s="21"/>
      <c r="H114" s="21"/>
      <c r="I114" s="21"/>
      <c r="J114" s="24"/>
      <c r="K114" s="21"/>
      <c r="L114" s="21"/>
      <c r="M114" s="22"/>
      <c r="N114" s="21"/>
      <c r="O114" s="23"/>
      <c r="P114" s="21"/>
      <c r="Q114" s="21"/>
      <c r="R114" s="21"/>
    </row>
    <row r="115" spans="1:18" x14ac:dyDescent="0.3">
      <c r="A115" s="23"/>
      <c r="B115" s="21"/>
      <c r="C115" s="21"/>
      <c r="D115" s="21"/>
      <c r="E115" s="21"/>
      <c r="F115" s="21"/>
      <c r="G115" s="21"/>
      <c r="H115" s="21"/>
      <c r="I115" s="21"/>
      <c r="J115" s="24"/>
      <c r="K115" s="21"/>
      <c r="L115" s="21"/>
      <c r="M115" s="22"/>
      <c r="N115" s="21"/>
      <c r="O115" s="23"/>
      <c r="P115" s="21"/>
      <c r="Q115" s="21"/>
      <c r="R115" s="21"/>
    </row>
    <row r="116" spans="1:18" x14ac:dyDescent="0.3">
      <c r="A116" s="23"/>
      <c r="B116" s="21"/>
      <c r="C116" s="21"/>
      <c r="D116" s="21"/>
      <c r="E116" s="21"/>
      <c r="F116" s="21"/>
      <c r="G116" s="21"/>
      <c r="H116" s="21"/>
      <c r="I116" s="21"/>
      <c r="J116" s="24"/>
      <c r="K116" s="21"/>
      <c r="L116" s="21"/>
      <c r="M116" s="22"/>
      <c r="N116" s="21"/>
      <c r="O116" s="23"/>
      <c r="P116" s="21"/>
      <c r="Q116" s="21"/>
      <c r="R116" s="21"/>
    </row>
    <row r="117" spans="1:18" x14ac:dyDescent="0.3">
      <c r="A117" s="23"/>
      <c r="B117" s="21"/>
      <c r="C117" s="21"/>
      <c r="D117" s="21"/>
      <c r="E117" s="21"/>
      <c r="F117" s="21"/>
      <c r="G117" s="21"/>
      <c r="H117" s="21"/>
      <c r="I117" s="21"/>
      <c r="J117" s="24"/>
      <c r="K117" s="21"/>
      <c r="L117" s="21"/>
      <c r="M117" s="22"/>
      <c r="N117" s="21"/>
      <c r="O117" s="23"/>
      <c r="P117" s="21"/>
      <c r="Q117" s="21"/>
      <c r="R117" s="21"/>
    </row>
    <row r="118" spans="1:18" x14ac:dyDescent="0.3">
      <c r="A118" s="23"/>
      <c r="B118" s="21"/>
      <c r="C118" s="21"/>
      <c r="D118" s="21"/>
      <c r="E118" s="21"/>
      <c r="F118" s="21"/>
      <c r="G118" s="21"/>
      <c r="H118" s="21"/>
      <c r="I118" s="21"/>
      <c r="J118" s="24"/>
      <c r="K118" s="21"/>
      <c r="L118" s="21"/>
      <c r="M118" s="22"/>
      <c r="N118" s="21"/>
      <c r="O118" s="23"/>
      <c r="P118" s="21"/>
      <c r="Q118" s="21"/>
      <c r="R118" s="21"/>
    </row>
    <row r="119" spans="1:18" x14ac:dyDescent="0.3">
      <c r="A119" s="23"/>
      <c r="B119" s="21"/>
      <c r="C119" s="21"/>
      <c r="D119" s="21"/>
      <c r="E119" s="21"/>
      <c r="F119" s="21"/>
      <c r="G119" s="21"/>
      <c r="H119" s="21"/>
      <c r="I119" s="21"/>
      <c r="J119" s="24"/>
      <c r="K119" s="21"/>
      <c r="L119" s="21"/>
      <c r="M119" s="22"/>
      <c r="N119" s="21"/>
      <c r="O119" s="23"/>
      <c r="P119" s="21"/>
      <c r="Q119" s="21"/>
      <c r="R119" s="21"/>
    </row>
    <row r="120" spans="1:18" x14ac:dyDescent="0.3">
      <c r="A120" s="25"/>
      <c r="B120" s="26"/>
      <c r="C120" s="26"/>
      <c r="D120" s="26"/>
      <c r="E120" s="26"/>
      <c r="F120" s="26"/>
      <c r="G120" s="26"/>
      <c r="H120" s="26"/>
      <c r="I120" s="26"/>
      <c r="J120" s="27"/>
      <c r="K120" s="21"/>
      <c r="L120" s="21"/>
      <c r="M120" s="22"/>
      <c r="N120" s="21"/>
      <c r="O120" s="25"/>
      <c r="P120" s="26"/>
      <c r="Q120" s="26"/>
      <c r="R120" s="26"/>
    </row>
    <row r="124" spans="1:18" x14ac:dyDescent="0.3">
      <c r="A124" s="28" t="str" cm="1">
        <f t="array" aca="1" ref="A124:J134" ca="1">_xlfn._xlws.FILTER(Data_T3[],Data_T3[T / V]="Validation")</f>
        <v>RT24</v>
      </c>
      <c r="B124" s="29">
        <f ca="1"/>
        <v>170</v>
      </c>
      <c r="C124" s="29" t="str">
        <f ca="1"/>
        <v>Melting</v>
      </c>
      <c r="D124" s="29">
        <f ca="1"/>
        <v>0.5</v>
      </c>
      <c r="E124" s="29">
        <f ca="1"/>
        <v>2</v>
      </c>
      <c r="F124" s="29">
        <f ca="1"/>
        <v>11.275199999993378</v>
      </c>
      <c r="G124" s="29">
        <f ca="1"/>
        <v>242.68199999999433</v>
      </c>
      <c r="H124" s="29">
        <f ca="1"/>
        <v>21.523520647096007</v>
      </c>
      <c r="I124" s="29" t="str">
        <f ca="1"/>
        <v>Validation</v>
      </c>
      <c r="J124" s="30">
        <f ca="1"/>
        <v>0.14406784008591822</v>
      </c>
      <c r="K124" s="31"/>
      <c r="L124" s="31"/>
      <c r="M124" s="32"/>
      <c r="N124" s="31"/>
      <c r="O124" s="28" cm="1">
        <f t="array" aca="1" ref="O124:R134" ca="1">_xlfn._xlws.FILTER(Estimates_T3[],Estimates_T3[T / V]="Validation")</f>
        <v>242.68199999999433</v>
      </c>
      <c r="P124" s="29">
        <f ca="1"/>
        <v>225.37610065797563</v>
      </c>
      <c r="Q124" s="29" t="str">
        <f ca="1"/>
        <v>Validation</v>
      </c>
      <c r="R124" s="29">
        <f ca="1"/>
        <v>7.1311013350883492</v>
      </c>
    </row>
    <row r="125" spans="1:18" x14ac:dyDescent="0.3">
      <c r="A125" s="33" t="str">
        <f ca="1"/>
        <v>RT11</v>
      </c>
      <c r="B125" s="31">
        <f ca="1"/>
        <v>170</v>
      </c>
      <c r="C125" s="31" t="str">
        <f ca="1"/>
        <v>Solidification</v>
      </c>
      <c r="D125" s="31">
        <f ca="1"/>
        <v>0.5</v>
      </c>
      <c r="E125" s="31">
        <f ca="1"/>
        <v>2</v>
      </c>
      <c r="F125" s="31">
        <f ca="1"/>
        <v>11.776659612500808</v>
      </c>
      <c r="G125" s="31">
        <f ca="1"/>
        <v>233.47361453749977</v>
      </c>
      <c r="H125" s="31">
        <f ca="1"/>
        <v>19.825113590756231</v>
      </c>
      <c r="I125" s="31" t="str">
        <f ca="1"/>
        <v>Validation</v>
      </c>
      <c r="J125" s="34">
        <f ca="1"/>
        <v>0.19182155831155145</v>
      </c>
      <c r="K125" s="31"/>
      <c r="L125" s="31"/>
      <c r="M125" s="32"/>
      <c r="N125" s="31"/>
      <c r="O125" s="33">
        <f ca="1"/>
        <v>233.47361453749977</v>
      </c>
      <c r="P125" s="31">
        <f ca="1"/>
        <v>235.39960464056134</v>
      </c>
      <c r="Q125" s="31" t="str">
        <f ca="1"/>
        <v>Validation</v>
      </c>
      <c r="R125" s="31">
        <f ca="1"/>
        <v>0.82492837868504365</v>
      </c>
    </row>
    <row r="126" spans="1:18" x14ac:dyDescent="0.3">
      <c r="A126" s="33" t="str">
        <f ca="1"/>
        <v>RT8</v>
      </c>
      <c r="B126" s="31">
        <f ca="1"/>
        <v>170</v>
      </c>
      <c r="C126" s="31" t="str">
        <f ca="1"/>
        <v>Melting</v>
      </c>
      <c r="D126" s="31">
        <f ca="1"/>
        <v>1</v>
      </c>
      <c r="E126" s="31">
        <f ca="1"/>
        <v>1</v>
      </c>
      <c r="F126" s="31">
        <f ca="1"/>
        <v>7.7868000000008877</v>
      </c>
      <c r="G126" s="31">
        <f ca="1"/>
        <v>134.81040000000056</v>
      </c>
      <c r="H126" s="31">
        <f ca="1"/>
        <v>17.312683002001489</v>
      </c>
      <c r="I126" s="31" t="str">
        <f ca="1"/>
        <v>Validation</v>
      </c>
      <c r="J126" s="34">
        <f ca="1"/>
        <v>0.53205438519692405</v>
      </c>
      <c r="K126" s="31"/>
      <c r="L126" s="31"/>
      <c r="M126" s="32"/>
      <c r="N126" s="31"/>
      <c r="O126" s="33">
        <f ca="1"/>
        <v>134.81040000000056</v>
      </c>
      <c r="P126" s="31">
        <f ca="1"/>
        <v>155.64767104838543</v>
      </c>
      <c r="Q126" s="31" t="str">
        <f ca="1"/>
        <v>Validation</v>
      </c>
      <c r="R126" s="31">
        <f ca="1"/>
        <v>15.456723701127503</v>
      </c>
    </row>
    <row r="127" spans="1:18" x14ac:dyDescent="0.3">
      <c r="A127" s="33" t="str">
        <f ca="1"/>
        <v>RT24</v>
      </c>
      <c r="B127" s="31">
        <f ca="1"/>
        <v>170</v>
      </c>
      <c r="C127" s="31" t="str">
        <f ca="1"/>
        <v>Melting</v>
      </c>
      <c r="D127" s="31">
        <f ca="1"/>
        <v>0.5</v>
      </c>
      <c r="E127" s="31">
        <f ca="1"/>
        <v>1</v>
      </c>
      <c r="F127" s="31">
        <f ca="1"/>
        <v>10.128440696018268</v>
      </c>
      <c r="G127" s="31">
        <f ca="1"/>
        <v>212.52860331422897</v>
      </c>
      <c r="H127" s="31">
        <f ca="1"/>
        <v>20.983348739730392</v>
      </c>
      <c r="I127" s="31" t="str">
        <f ca="1"/>
        <v>Validation</v>
      </c>
      <c r="J127" s="34">
        <f ca="1"/>
        <v>0.73857162334176318</v>
      </c>
      <c r="K127" s="31"/>
      <c r="L127" s="31"/>
      <c r="M127" s="32"/>
      <c r="N127" s="31"/>
      <c r="O127" s="33">
        <f ca="1"/>
        <v>212.52860331422897</v>
      </c>
      <c r="P127" s="31">
        <f ca="1"/>
        <v>202.45392275218981</v>
      </c>
      <c r="Q127" s="31" t="str">
        <f ca="1"/>
        <v>Validation</v>
      </c>
      <c r="R127" s="31">
        <f ca="1"/>
        <v>4.7403880724438254</v>
      </c>
    </row>
    <row r="128" spans="1:18" x14ac:dyDescent="0.3">
      <c r="A128" s="33" t="str">
        <f ca="1"/>
        <v>RT8</v>
      </c>
      <c r="B128" s="31">
        <f ca="1"/>
        <v>170</v>
      </c>
      <c r="C128" s="31" t="str">
        <f ca="1"/>
        <v>Solidification</v>
      </c>
      <c r="D128" s="31">
        <f ca="1"/>
        <v>0.5</v>
      </c>
      <c r="E128" s="31">
        <f ca="1"/>
        <v>3</v>
      </c>
      <c r="F128" s="31">
        <f ca="1"/>
        <v>7.7242423058830347</v>
      </c>
      <c r="G128" s="31">
        <f ca="1"/>
        <v>178.55986063999981</v>
      </c>
      <c r="H128" s="31">
        <f ca="1"/>
        <v>23.116812441785104</v>
      </c>
      <c r="I128" s="31" t="str">
        <f ca="1"/>
        <v>Validation</v>
      </c>
      <c r="J128" s="34">
        <f ca="1"/>
        <v>0.8272331348933446</v>
      </c>
      <c r="K128" s="31"/>
      <c r="L128" s="31"/>
      <c r="M128" s="32"/>
      <c r="N128" s="31"/>
      <c r="O128" s="33">
        <f ca="1"/>
        <v>178.55986063999981</v>
      </c>
      <c r="P128" s="31">
        <f ca="1"/>
        <v>154.39722678429749</v>
      </c>
      <c r="Q128" s="31" t="str">
        <f ca="1"/>
        <v>Validation</v>
      </c>
      <c r="R128" s="31">
        <f ca="1"/>
        <v>13.531951564644965</v>
      </c>
    </row>
    <row r="129" spans="1:18" x14ac:dyDescent="0.3">
      <c r="A129" s="33" t="str">
        <f ca="1"/>
        <v>RT24</v>
      </c>
      <c r="B129" s="31">
        <f ca="1"/>
        <v>170</v>
      </c>
      <c r="C129" s="31" t="str">
        <f ca="1"/>
        <v>Solidification</v>
      </c>
      <c r="D129" s="31">
        <f ca="1"/>
        <v>1</v>
      </c>
      <c r="E129" s="31">
        <f ca="1"/>
        <v>3</v>
      </c>
      <c r="F129" s="31">
        <f ca="1"/>
        <v>17.283599999999968</v>
      </c>
      <c r="G129" s="31">
        <f ca="1"/>
        <v>360.78210000000007</v>
      </c>
      <c r="H129" s="31">
        <f ca="1"/>
        <v>20.874244948969007</v>
      </c>
      <c r="I129" s="31" t="str">
        <f ca="1"/>
        <v>Validation</v>
      </c>
      <c r="J129" s="34">
        <f ca="1"/>
        <v>0.51482160022627022</v>
      </c>
      <c r="K129" s="31"/>
      <c r="L129" s="31"/>
      <c r="M129" s="32"/>
      <c r="N129" s="31"/>
      <c r="O129" s="33">
        <f ca="1"/>
        <v>360.78210000000007</v>
      </c>
      <c r="P129" s="31">
        <f ca="1"/>
        <v>345.47594484660743</v>
      </c>
      <c r="Q129" s="31" t="str">
        <f ca="1"/>
        <v>Validation</v>
      </c>
      <c r="R129" s="31">
        <f ca="1"/>
        <v>4.2424929488998027</v>
      </c>
    </row>
    <row r="130" spans="1:18" x14ac:dyDescent="0.3">
      <c r="A130" s="33" t="str">
        <f ca="1"/>
        <v>RT11</v>
      </c>
      <c r="B130" s="31">
        <f ca="1"/>
        <v>170</v>
      </c>
      <c r="C130" s="31" t="str">
        <f ca="1"/>
        <v>Solidification</v>
      </c>
      <c r="D130" s="31">
        <f ca="1"/>
        <v>1</v>
      </c>
      <c r="E130" s="31">
        <f ca="1"/>
        <v>3</v>
      </c>
      <c r="F130" s="31">
        <f ca="1"/>
        <v>12.285332570093937</v>
      </c>
      <c r="G130" s="31">
        <f ca="1"/>
        <v>256.57732728687955</v>
      </c>
      <c r="H130" s="31">
        <f ca="1"/>
        <v>20.884849947934107</v>
      </c>
      <c r="I130" s="31" t="str">
        <f ca="1"/>
        <v>Validation</v>
      </c>
      <c r="J130" s="34">
        <f ca="1"/>
        <v>0.67050914792555105</v>
      </c>
      <c r="K130" s="31"/>
      <c r="L130" s="31"/>
      <c r="M130" s="32"/>
      <c r="N130" s="31"/>
      <c r="O130" s="33">
        <f ca="1"/>
        <v>256.57732728687955</v>
      </c>
      <c r="P130" s="31">
        <f ca="1"/>
        <v>245.56729370084997</v>
      </c>
      <c r="Q130" s="31" t="str">
        <f ca="1"/>
        <v>Validation</v>
      </c>
      <c r="R130" s="31">
        <f ca="1"/>
        <v>4.2911171078336325</v>
      </c>
    </row>
    <row r="131" spans="1:18" x14ac:dyDescent="0.3">
      <c r="A131" s="33" t="str">
        <f ca="1"/>
        <v>RT11</v>
      </c>
      <c r="B131" s="31">
        <f ca="1"/>
        <v>170</v>
      </c>
      <c r="C131" s="31" t="str">
        <f ca="1"/>
        <v>Solidification</v>
      </c>
      <c r="D131" s="31">
        <f ca="1"/>
        <v>0.5</v>
      </c>
      <c r="E131" s="31">
        <f ca="1"/>
        <v>3</v>
      </c>
      <c r="F131" s="31">
        <f ca="1"/>
        <v>14.158822452174912</v>
      </c>
      <c r="G131" s="31">
        <f ca="1"/>
        <v>270.25498746086953</v>
      </c>
      <c r="H131" s="31">
        <f ca="1"/>
        <v>19.087391509691273</v>
      </c>
      <c r="I131" s="31" t="str">
        <f ca="1"/>
        <v>Validation</v>
      </c>
      <c r="J131" s="34">
        <f ca="1"/>
        <v>0.59317214801291274</v>
      </c>
      <c r="K131" s="31"/>
      <c r="L131" s="31"/>
      <c r="M131" s="32"/>
      <c r="N131" s="31"/>
      <c r="O131" s="33">
        <f ca="1"/>
        <v>270.25498746086953</v>
      </c>
      <c r="P131" s="31">
        <f ca="1"/>
        <v>283.0158395577597</v>
      </c>
      <c r="Q131" s="31" t="str">
        <f ca="1"/>
        <v>Validation</v>
      </c>
      <c r="R131" s="31">
        <f ca="1"/>
        <v>4.7217822756139993</v>
      </c>
    </row>
    <row r="132" spans="1:18" x14ac:dyDescent="0.3">
      <c r="A132" s="33" t="str">
        <f ca="1"/>
        <v>RT24</v>
      </c>
      <c r="B132" s="31">
        <f ca="1"/>
        <v>170</v>
      </c>
      <c r="C132" s="31" t="str">
        <f ca="1"/>
        <v>Melting</v>
      </c>
      <c r="D132" s="31">
        <f ca="1"/>
        <v>1</v>
      </c>
      <c r="E132" s="31">
        <f ca="1"/>
        <v>3</v>
      </c>
      <c r="F132" s="31">
        <f ca="1"/>
        <v>7.7994267951314544</v>
      </c>
      <c r="G132" s="31">
        <f ca="1"/>
        <v>182.63889794765294</v>
      </c>
      <c r="H132" s="31">
        <f ca="1"/>
        <v>23.416964187888716</v>
      </c>
      <c r="I132" s="31" t="str">
        <f ca="1"/>
        <v>Validation</v>
      </c>
      <c r="J132" s="34">
        <f ca="1"/>
        <v>0.91401684171139452</v>
      </c>
      <c r="K132" s="31"/>
      <c r="L132" s="31"/>
      <c r="M132" s="32"/>
      <c r="N132" s="31"/>
      <c r="O132" s="33">
        <f ca="1"/>
        <v>182.63889794765294</v>
      </c>
      <c r="P132" s="31">
        <f ca="1"/>
        <v>155.9000637199421</v>
      </c>
      <c r="Q132" s="31" t="str">
        <f ca="1"/>
        <v>Validation</v>
      </c>
      <c r="R132" s="31">
        <f ca="1"/>
        <v>14.640273527808183</v>
      </c>
    </row>
    <row r="133" spans="1:18" x14ac:dyDescent="0.3">
      <c r="A133" s="33" t="str">
        <f ca="1"/>
        <v>RT8</v>
      </c>
      <c r="B133" s="31">
        <f ca="1"/>
        <v>170</v>
      </c>
      <c r="C133" s="31" t="str">
        <f ca="1"/>
        <v>Solidification</v>
      </c>
      <c r="D133" s="31">
        <f ca="1"/>
        <v>1</v>
      </c>
      <c r="E133" s="31">
        <f ca="1"/>
        <v>2</v>
      </c>
      <c r="F133" s="31">
        <f ca="1"/>
        <v>9.2355319538814236</v>
      </c>
      <c r="G133" s="31">
        <f ca="1"/>
        <v>177.19746032724149</v>
      </c>
      <c r="H133" s="31">
        <f ca="1"/>
        <v>19.186492040966908</v>
      </c>
      <c r="I133" s="31" t="str">
        <f ca="1"/>
        <v>Validation</v>
      </c>
      <c r="J133" s="34">
        <f ca="1"/>
        <v>5.4548333988872266E-2</v>
      </c>
      <c r="K133" s="31"/>
      <c r="L133" s="31"/>
      <c r="M133" s="32"/>
      <c r="N133" s="31"/>
      <c r="O133" s="33">
        <f ca="1"/>
        <v>177.19746032724149</v>
      </c>
      <c r="P133" s="31">
        <f ca="1"/>
        <v>184.60587654934304</v>
      </c>
      <c r="Q133" s="31" t="str">
        <f ca="1"/>
        <v>Validation</v>
      </c>
      <c r="R133" s="31">
        <f ca="1"/>
        <v>4.180881717164552</v>
      </c>
    </row>
    <row r="134" spans="1:18" x14ac:dyDescent="0.3">
      <c r="A134" s="33" t="str">
        <f ca="1"/>
        <v>RT8</v>
      </c>
      <c r="B134" s="31">
        <f ca="1"/>
        <v>170</v>
      </c>
      <c r="C134" s="31" t="str">
        <f ca="1"/>
        <v>Melting</v>
      </c>
      <c r="D134" s="31">
        <f ca="1"/>
        <v>0.5</v>
      </c>
      <c r="E134" s="31">
        <f ca="1"/>
        <v>1</v>
      </c>
      <c r="F134" s="31">
        <f ca="1"/>
        <v>8.0972999999946342</v>
      </c>
      <c r="G134" s="31">
        <f ca="1"/>
        <v>166.90619999999905</v>
      </c>
      <c r="H134" s="31">
        <f ca="1"/>
        <v>20.612574561904541</v>
      </c>
      <c r="I134" s="31" t="str">
        <f ca="1"/>
        <v>Validation</v>
      </c>
      <c r="J134" s="34">
        <f ca="1"/>
        <v>2.0903075899010304E-2</v>
      </c>
      <c r="K134" s="31"/>
      <c r="L134" s="31"/>
      <c r="M134" s="32"/>
      <c r="N134" s="31"/>
      <c r="O134" s="33">
        <f ca="1"/>
        <v>166.90619999999905</v>
      </c>
      <c r="P134" s="31">
        <f ca="1"/>
        <v>161.85414891600047</v>
      </c>
      <c r="Q134" s="31" t="str">
        <f ca="1"/>
        <v>Validation</v>
      </c>
      <c r="R134" s="31">
        <f ca="1"/>
        <v>3.0268804178626119</v>
      </c>
    </row>
    <row r="135" spans="1:18" x14ac:dyDescent="0.3">
      <c r="A135" s="33"/>
      <c r="B135" s="31"/>
      <c r="C135" s="31"/>
      <c r="D135" s="31"/>
      <c r="E135" s="31"/>
      <c r="F135" s="31"/>
      <c r="G135" s="31"/>
      <c r="H135" s="31"/>
      <c r="I135" s="31"/>
      <c r="J135" s="34"/>
      <c r="K135" s="31"/>
      <c r="L135" s="31"/>
      <c r="M135" s="32"/>
      <c r="N135" s="31"/>
      <c r="O135" s="33"/>
      <c r="P135" s="31"/>
      <c r="Q135" s="31"/>
      <c r="R135" s="31"/>
    </row>
    <row r="136" spans="1:18" x14ac:dyDescent="0.3">
      <c r="A136" s="33"/>
      <c r="B136" s="31"/>
      <c r="C136" s="31"/>
      <c r="D136" s="31"/>
      <c r="E136" s="31"/>
      <c r="F136" s="31"/>
      <c r="G136" s="31"/>
      <c r="H136" s="31"/>
      <c r="I136" s="31"/>
      <c r="J136" s="34"/>
      <c r="K136" s="31"/>
      <c r="L136" s="31"/>
      <c r="M136" s="32"/>
      <c r="N136" s="31"/>
      <c r="O136" s="33"/>
      <c r="P136" s="31"/>
      <c r="Q136" s="31"/>
      <c r="R136" s="31"/>
    </row>
    <row r="137" spans="1:18" x14ac:dyDescent="0.3">
      <c r="A137" s="33"/>
      <c r="B137" s="31"/>
      <c r="C137" s="31"/>
      <c r="D137" s="31"/>
      <c r="E137" s="31"/>
      <c r="F137" s="31"/>
      <c r="G137" s="31"/>
      <c r="H137" s="31"/>
      <c r="I137" s="31"/>
      <c r="J137" s="34"/>
      <c r="K137" s="31"/>
      <c r="L137" s="31"/>
      <c r="M137" s="32"/>
      <c r="N137" s="31"/>
      <c r="O137" s="33"/>
      <c r="P137" s="31"/>
      <c r="Q137" s="31"/>
      <c r="R137" s="31"/>
    </row>
    <row r="138" spans="1:18" x14ac:dyDescent="0.3">
      <c r="A138" s="33"/>
      <c r="B138" s="31"/>
      <c r="C138" s="31"/>
      <c r="D138" s="31"/>
      <c r="E138" s="31"/>
      <c r="F138" s="31"/>
      <c r="G138" s="31"/>
      <c r="H138" s="31"/>
      <c r="I138" s="31"/>
      <c r="J138" s="34"/>
      <c r="K138" s="31"/>
      <c r="L138" s="31"/>
      <c r="M138" s="32"/>
      <c r="N138" s="31"/>
      <c r="O138" s="33"/>
      <c r="P138" s="31"/>
      <c r="Q138" s="31"/>
      <c r="R138" s="31"/>
    </row>
    <row r="139" spans="1:18" x14ac:dyDescent="0.3">
      <c r="A139" s="33"/>
      <c r="B139" s="31"/>
      <c r="C139" s="31"/>
      <c r="D139" s="31"/>
      <c r="E139" s="31"/>
      <c r="F139" s="31"/>
      <c r="G139" s="31"/>
      <c r="H139" s="31"/>
      <c r="I139" s="31"/>
      <c r="J139" s="34"/>
      <c r="K139" s="31"/>
      <c r="L139" s="31"/>
      <c r="M139" s="32"/>
      <c r="N139" s="31"/>
      <c r="O139" s="33"/>
      <c r="P139" s="31"/>
      <c r="Q139" s="31"/>
      <c r="R139" s="31"/>
    </row>
    <row r="140" spans="1:18" x14ac:dyDescent="0.3">
      <c r="A140" s="33"/>
      <c r="B140" s="31"/>
      <c r="C140" s="31"/>
      <c r="D140" s="31"/>
      <c r="E140" s="31"/>
      <c r="F140" s="31"/>
      <c r="G140" s="31"/>
      <c r="H140" s="31"/>
      <c r="I140" s="31"/>
      <c r="J140" s="34"/>
      <c r="K140" s="31"/>
      <c r="L140" s="31"/>
      <c r="M140" s="32"/>
      <c r="N140" s="31"/>
      <c r="O140" s="33"/>
      <c r="P140" s="31"/>
      <c r="Q140" s="31"/>
      <c r="R140" s="31"/>
    </row>
    <row r="141" spans="1:18" x14ac:dyDescent="0.3">
      <c r="A141" s="33"/>
      <c r="B141" s="31"/>
      <c r="C141" s="31"/>
      <c r="D141" s="31"/>
      <c r="E141" s="31"/>
      <c r="F141" s="31"/>
      <c r="G141" s="31"/>
      <c r="H141" s="31"/>
      <c r="I141" s="31"/>
      <c r="J141" s="34"/>
      <c r="K141" s="31"/>
      <c r="L141" s="31"/>
      <c r="M141" s="32"/>
      <c r="N141" s="31"/>
      <c r="O141" s="33"/>
      <c r="P141" s="31"/>
      <c r="Q141" s="31"/>
      <c r="R141" s="31"/>
    </row>
    <row r="142" spans="1:18" x14ac:dyDescent="0.3">
      <c r="A142" s="33"/>
      <c r="B142" s="31"/>
      <c r="C142" s="31"/>
      <c r="D142" s="31"/>
      <c r="E142" s="31"/>
      <c r="F142" s="31"/>
      <c r="G142" s="31"/>
      <c r="H142" s="31"/>
      <c r="I142" s="31"/>
      <c r="J142" s="34"/>
      <c r="K142" s="31"/>
      <c r="L142" s="31"/>
      <c r="M142" s="32"/>
      <c r="N142" s="31"/>
      <c r="O142" s="33"/>
      <c r="P142" s="31"/>
      <c r="Q142" s="31"/>
      <c r="R142" s="31"/>
    </row>
    <row r="143" spans="1:18" x14ac:dyDescent="0.3">
      <c r="A143" s="33"/>
      <c r="B143" s="31"/>
      <c r="C143" s="31"/>
      <c r="D143" s="31"/>
      <c r="E143" s="31"/>
      <c r="F143" s="31"/>
      <c r="G143" s="31"/>
      <c r="H143" s="31"/>
      <c r="I143" s="31"/>
      <c r="J143" s="34"/>
      <c r="K143" s="31"/>
      <c r="L143" s="31"/>
      <c r="M143" s="32"/>
      <c r="N143" s="31"/>
      <c r="O143" s="33"/>
      <c r="P143" s="31"/>
      <c r="Q143" s="31"/>
      <c r="R143" s="31"/>
    </row>
    <row r="144" spans="1:18" x14ac:dyDescent="0.3">
      <c r="A144" s="33"/>
      <c r="B144" s="31"/>
      <c r="C144" s="31"/>
      <c r="D144" s="31"/>
      <c r="E144" s="31"/>
      <c r="F144" s="31"/>
      <c r="G144" s="31"/>
      <c r="H144" s="31"/>
      <c r="I144" s="31"/>
      <c r="J144" s="34"/>
      <c r="K144" s="31"/>
      <c r="L144" s="31"/>
      <c r="M144" s="32"/>
      <c r="N144" s="31"/>
      <c r="O144" s="33"/>
      <c r="P144" s="31"/>
      <c r="Q144" s="31"/>
      <c r="R144" s="31"/>
    </row>
    <row r="145" spans="1:18" x14ac:dyDescent="0.3">
      <c r="A145" s="33"/>
      <c r="B145" s="31"/>
      <c r="C145" s="31"/>
      <c r="D145" s="31"/>
      <c r="E145" s="31"/>
      <c r="F145" s="31"/>
      <c r="G145" s="31"/>
      <c r="H145" s="31"/>
      <c r="I145" s="31"/>
      <c r="J145" s="34"/>
      <c r="K145" s="31"/>
      <c r="L145" s="31"/>
      <c r="M145" s="32"/>
      <c r="N145" s="31"/>
      <c r="O145" s="33"/>
      <c r="P145" s="31"/>
      <c r="Q145" s="31"/>
      <c r="R145" s="31"/>
    </row>
    <row r="146" spans="1:18" x14ac:dyDescent="0.3">
      <c r="A146" s="33"/>
      <c r="B146" s="31"/>
      <c r="C146" s="31"/>
      <c r="D146" s="31"/>
      <c r="E146" s="31"/>
      <c r="F146" s="31"/>
      <c r="G146" s="31"/>
      <c r="H146" s="31"/>
      <c r="I146" s="31"/>
      <c r="J146" s="34"/>
      <c r="K146" s="31"/>
      <c r="L146" s="31"/>
      <c r="M146" s="32"/>
      <c r="N146" s="31"/>
      <c r="O146" s="33"/>
      <c r="P146" s="31"/>
      <c r="Q146" s="31"/>
      <c r="R146" s="31"/>
    </row>
    <row r="147" spans="1:18" x14ac:dyDescent="0.3">
      <c r="A147" s="33"/>
      <c r="B147" s="31"/>
      <c r="C147" s="31"/>
      <c r="D147" s="31"/>
      <c r="E147" s="31"/>
      <c r="F147" s="31"/>
      <c r="G147" s="31"/>
      <c r="H147" s="31"/>
      <c r="I147" s="31"/>
      <c r="J147" s="34"/>
      <c r="K147" s="31"/>
      <c r="L147" s="31"/>
      <c r="M147" s="32"/>
      <c r="N147" s="31"/>
      <c r="O147" s="33"/>
      <c r="P147" s="31"/>
      <c r="Q147" s="31"/>
      <c r="R147" s="31"/>
    </row>
    <row r="148" spans="1:18" x14ac:dyDescent="0.3">
      <c r="A148" s="33"/>
      <c r="B148" s="31"/>
      <c r="C148" s="31"/>
      <c r="D148" s="31"/>
      <c r="E148" s="31"/>
      <c r="F148" s="31"/>
      <c r="G148" s="31"/>
      <c r="H148" s="31"/>
      <c r="I148" s="31"/>
      <c r="J148" s="34"/>
      <c r="K148" s="31"/>
      <c r="L148" s="31"/>
      <c r="M148" s="32"/>
      <c r="N148" s="31"/>
      <c r="O148" s="33"/>
      <c r="P148" s="31"/>
      <c r="Q148" s="31"/>
      <c r="R148" s="31"/>
    </row>
    <row r="149" spans="1:18" x14ac:dyDescent="0.3">
      <c r="A149" s="33"/>
      <c r="B149" s="31"/>
      <c r="C149" s="31"/>
      <c r="D149" s="31"/>
      <c r="E149" s="31"/>
      <c r="F149" s="31"/>
      <c r="G149" s="31"/>
      <c r="H149" s="31"/>
      <c r="I149" s="31"/>
      <c r="J149" s="34"/>
      <c r="K149" s="31"/>
      <c r="L149" s="31"/>
      <c r="M149" s="32"/>
      <c r="N149" s="31"/>
      <c r="O149" s="33"/>
      <c r="P149" s="31"/>
      <c r="Q149" s="31"/>
      <c r="R149" s="31"/>
    </row>
    <row r="150" spans="1:18" x14ac:dyDescent="0.3">
      <c r="A150" s="33"/>
      <c r="B150" s="31"/>
      <c r="C150" s="31"/>
      <c r="D150" s="31"/>
      <c r="E150" s="31"/>
      <c r="F150" s="31"/>
      <c r="G150" s="31"/>
      <c r="H150" s="31"/>
      <c r="I150" s="31"/>
      <c r="J150" s="34"/>
      <c r="K150" s="31"/>
      <c r="L150" s="31"/>
      <c r="M150" s="32"/>
      <c r="N150" s="31"/>
      <c r="O150" s="33"/>
      <c r="P150" s="31"/>
      <c r="Q150" s="31"/>
      <c r="R150" s="31"/>
    </row>
    <row r="151" spans="1:18" x14ac:dyDescent="0.3">
      <c r="A151" s="33"/>
      <c r="B151" s="31"/>
      <c r="C151" s="31"/>
      <c r="D151" s="31"/>
      <c r="E151" s="31"/>
      <c r="F151" s="31"/>
      <c r="G151" s="31"/>
      <c r="H151" s="31"/>
      <c r="I151" s="31"/>
      <c r="J151" s="34"/>
      <c r="K151" s="31"/>
      <c r="L151" s="31"/>
      <c r="M151" s="32"/>
      <c r="N151" s="31"/>
      <c r="O151" s="33"/>
      <c r="P151" s="31"/>
      <c r="Q151" s="31"/>
      <c r="R151" s="31"/>
    </row>
    <row r="152" spans="1:18" x14ac:dyDescent="0.3">
      <c r="A152" s="33"/>
      <c r="B152" s="31"/>
      <c r="C152" s="31"/>
      <c r="D152" s="31"/>
      <c r="E152" s="31"/>
      <c r="F152" s="31"/>
      <c r="G152" s="31"/>
      <c r="H152" s="31"/>
      <c r="I152" s="31"/>
      <c r="J152" s="34"/>
      <c r="K152" s="31"/>
      <c r="L152" s="31"/>
      <c r="M152" s="32"/>
      <c r="N152" s="31"/>
      <c r="O152" s="33"/>
      <c r="P152" s="31"/>
      <c r="Q152" s="31"/>
      <c r="R152" s="31"/>
    </row>
    <row r="153" spans="1:18" x14ac:dyDescent="0.3">
      <c r="A153" s="33"/>
      <c r="B153" s="31"/>
      <c r="C153" s="31"/>
      <c r="D153" s="31"/>
      <c r="E153" s="31"/>
      <c r="F153" s="31"/>
      <c r="G153" s="31"/>
      <c r="H153" s="31"/>
      <c r="I153" s="31"/>
      <c r="J153" s="34"/>
      <c r="K153" s="31"/>
      <c r="L153" s="31"/>
      <c r="M153" s="32"/>
      <c r="N153" s="31"/>
      <c r="O153" s="33"/>
      <c r="P153" s="31"/>
      <c r="Q153" s="31"/>
      <c r="R153" s="31"/>
    </row>
    <row r="154" spans="1:18" x14ac:dyDescent="0.3">
      <c r="A154" s="33"/>
      <c r="B154" s="31"/>
      <c r="C154" s="31"/>
      <c r="D154" s="31"/>
      <c r="E154" s="31"/>
      <c r="F154" s="31"/>
      <c r="G154" s="31"/>
      <c r="H154" s="31"/>
      <c r="I154" s="31"/>
      <c r="J154" s="34"/>
      <c r="K154" s="31"/>
      <c r="L154" s="31"/>
      <c r="M154" s="32"/>
      <c r="N154" s="31"/>
      <c r="O154" s="33"/>
      <c r="P154" s="31"/>
      <c r="Q154" s="31"/>
      <c r="R154" s="31"/>
    </row>
    <row r="155" spans="1:18" x14ac:dyDescent="0.3">
      <c r="A155" s="33"/>
      <c r="B155" s="31"/>
      <c r="C155" s="31"/>
      <c r="D155" s="31"/>
      <c r="E155" s="31"/>
      <c r="F155" s="31"/>
      <c r="G155" s="31"/>
      <c r="H155" s="31"/>
      <c r="I155" s="31"/>
      <c r="J155" s="34"/>
      <c r="K155" s="31"/>
      <c r="L155" s="31"/>
      <c r="M155" s="32"/>
      <c r="N155" s="31"/>
      <c r="O155" s="33"/>
      <c r="P155" s="31"/>
      <c r="Q155" s="31"/>
      <c r="R155" s="31"/>
    </row>
    <row r="156" spans="1:18" x14ac:dyDescent="0.3">
      <c r="A156" s="33"/>
      <c r="B156" s="31"/>
      <c r="C156" s="31"/>
      <c r="D156" s="31"/>
      <c r="E156" s="31"/>
      <c r="F156" s="31"/>
      <c r="G156" s="31"/>
      <c r="H156" s="31"/>
      <c r="I156" s="31"/>
      <c r="J156" s="34"/>
      <c r="K156" s="31"/>
      <c r="L156" s="31"/>
      <c r="M156" s="32"/>
      <c r="N156" s="31"/>
      <c r="O156" s="33"/>
      <c r="P156" s="31"/>
      <c r="Q156" s="31"/>
      <c r="R156" s="31"/>
    </row>
    <row r="157" spans="1:18" x14ac:dyDescent="0.3">
      <c r="A157" s="33"/>
      <c r="B157" s="31"/>
      <c r="C157" s="31"/>
      <c r="D157" s="31"/>
      <c r="E157" s="31"/>
      <c r="F157" s="31"/>
      <c r="G157" s="31"/>
      <c r="H157" s="31"/>
      <c r="I157" s="31"/>
      <c r="J157" s="34"/>
      <c r="K157" s="31"/>
      <c r="L157" s="31"/>
      <c r="M157" s="32"/>
      <c r="N157" s="31"/>
      <c r="O157" s="33"/>
      <c r="P157" s="31"/>
      <c r="Q157" s="31"/>
      <c r="R157" s="31"/>
    </row>
    <row r="158" spans="1:18" x14ac:dyDescent="0.3">
      <c r="A158" s="33"/>
      <c r="B158" s="31"/>
      <c r="C158" s="31"/>
      <c r="D158" s="31"/>
      <c r="E158" s="31"/>
      <c r="F158" s="31"/>
      <c r="G158" s="31"/>
      <c r="H158" s="31"/>
      <c r="I158" s="31"/>
      <c r="J158" s="34"/>
      <c r="K158" s="31"/>
      <c r="L158" s="31"/>
      <c r="M158" s="32"/>
      <c r="N158" s="31"/>
      <c r="O158" s="33"/>
      <c r="P158" s="31"/>
      <c r="Q158" s="31"/>
      <c r="R158" s="31"/>
    </row>
    <row r="159" spans="1:18" x14ac:dyDescent="0.3">
      <c r="A159" s="33"/>
      <c r="B159" s="31"/>
      <c r="C159" s="31"/>
      <c r="D159" s="31"/>
      <c r="E159" s="31"/>
      <c r="F159" s="31"/>
      <c r="G159" s="31"/>
      <c r="H159" s="31"/>
      <c r="I159" s="31"/>
      <c r="J159" s="34"/>
      <c r="K159" s="31"/>
      <c r="L159" s="31"/>
      <c r="M159" s="32"/>
      <c r="N159" s="31"/>
      <c r="O159" s="33"/>
      <c r="P159" s="31"/>
      <c r="Q159" s="31"/>
      <c r="R159" s="31"/>
    </row>
    <row r="160" spans="1:18" x14ac:dyDescent="0.3">
      <c r="A160" s="33"/>
      <c r="B160" s="31"/>
      <c r="C160" s="31"/>
      <c r="D160" s="31"/>
      <c r="E160" s="31"/>
      <c r="F160" s="31"/>
      <c r="G160" s="31"/>
      <c r="H160" s="31"/>
      <c r="I160" s="31"/>
      <c r="J160" s="34"/>
      <c r="K160" s="31"/>
      <c r="L160" s="31"/>
      <c r="M160" s="32"/>
      <c r="N160" s="31"/>
      <c r="O160" s="33"/>
      <c r="P160" s="31"/>
      <c r="Q160" s="31"/>
      <c r="R160" s="31"/>
    </row>
    <row r="161" spans="1:18" x14ac:dyDescent="0.3">
      <c r="A161" s="33"/>
      <c r="B161" s="31"/>
      <c r="C161" s="31"/>
      <c r="D161" s="31"/>
      <c r="E161" s="31"/>
      <c r="F161" s="31"/>
      <c r="G161" s="31"/>
      <c r="H161" s="31"/>
      <c r="I161" s="31"/>
      <c r="J161" s="34"/>
      <c r="K161" s="31"/>
      <c r="L161" s="31"/>
      <c r="M161" s="32"/>
      <c r="N161" s="31"/>
      <c r="O161" s="33"/>
      <c r="P161" s="31"/>
      <c r="Q161" s="31"/>
      <c r="R161" s="31"/>
    </row>
    <row r="162" spans="1:18" x14ac:dyDescent="0.3">
      <c r="A162" s="33"/>
      <c r="B162" s="31"/>
      <c r="C162" s="31"/>
      <c r="D162" s="31"/>
      <c r="E162" s="31"/>
      <c r="F162" s="31"/>
      <c r="G162" s="31"/>
      <c r="H162" s="31"/>
      <c r="I162" s="31"/>
      <c r="J162" s="34"/>
      <c r="K162" s="31"/>
      <c r="L162" s="31"/>
      <c r="M162" s="32"/>
      <c r="N162" s="31"/>
      <c r="O162" s="33"/>
      <c r="P162" s="31"/>
      <c r="Q162" s="31"/>
      <c r="R162" s="31"/>
    </row>
    <row r="163" spans="1:18" x14ac:dyDescent="0.3">
      <c r="A163" s="33"/>
      <c r="B163" s="31"/>
      <c r="C163" s="31"/>
      <c r="D163" s="31"/>
      <c r="E163" s="31"/>
      <c r="F163" s="31"/>
      <c r="G163" s="31"/>
      <c r="H163" s="31"/>
      <c r="I163" s="31"/>
      <c r="J163" s="34"/>
      <c r="K163" s="31"/>
      <c r="L163" s="31"/>
      <c r="M163" s="32"/>
      <c r="N163" s="31"/>
      <c r="O163" s="33"/>
      <c r="P163" s="31"/>
      <c r="Q163" s="31"/>
      <c r="R163" s="31"/>
    </row>
    <row r="164" spans="1:18" x14ac:dyDescent="0.3">
      <c r="A164" s="33"/>
      <c r="B164" s="31"/>
      <c r="C164" s="31"/>
      <c r="D164" s="31"/>
      <c r="E164" s="31"/>
      <c r="F164" s="31"/>
      <c r="G164" s="31"/>
      <c r="H164" s="31"/>
      <c r="I164" s="31"/>
      <c r="J164" s="34"/>
      <c r="K164" s="31"/>
      <c r="L164" s="31"/>
      <c r="M164" s="32"/>
      <c r="N164" s="31"/>
      <c r="O164" s="33"/>
      <c r="P164" s="31"/>
      <c r="Q164" s="31"/>
      <c r="R164" s="31"/>
    </row>
    <row r="165" spans="1:18" x14ac:dyDescent="0.3">
      <c r="A165" s="33"/>
      <c r="B165" s="31"/>
      <c r="C165" s="31"/>
      <c r="D165" s="31"/>
      <c r="E165" s="31"/>
      <c r="F165" s="31"/>
      <c r="G165" s="31"/>
      <c r="H165" s="31"/>
      <c r="I165" s="31"/>
      <c r="J165" s="34"/>
      <c r="K165" s="31"/>
      <c r="L165" s="31"/>
      <c r="M165" s="32"/>
      <c r="N165" s="31"/>
      <c r="O165" s="33"/>
      <c r="P165" s="31"/>
      <c r="Q165" s="31"/>
      <c r="R165" s="31"/>
    </row>
    <row r="166" spans="1:18" x14ac:dyDescent="0.3">
      <c r="A166" s="33"/>
      <c r="B166" s="31"/>
      <c r="C166" s="31"/>
      <c r="D166" s="31"/>
      <c r="E166" s="31"/>
      <c r="F166" s="31"/>
      <c r="G166" s="31"/>
      <c r="H166" s="31"/>
      <c r="I166" s="31"/>
      <c r="J166" s="34"/>
      <c r="K166" s="31"/>
      <c r="L166" s="31"/>
      <c r="M166" s="32"/>
      <c r="N166" s="31"/>
      <c r="O166" s="33"/>
      <c r="P166" s="31"/>
      <c r="Q166" s="31"/>
      <c r="R166" s="31"/>
    </row>
    <row r="167" spans="1:18" x14ac:dyDescent="0.3">
      <c r="A167" s="33"/>
      <c r="B167" s="31"/>
      <c r="C167" s="31"/>
      <c r="D167" s="31"/>
      <c r="E167" s="31"/>
      <c r="F167" s="31"/>
      <c r="G167" s="31"/>
      <c r="H167" s="31"/>
      <c r="I167" s="31"/>
      <c r="J167" s="34"/>
      <c r="K167" s="31"/>
      <c r="L167" s="31"/>
      <c r="M167" s="32"/>
      <c r="N167" s="31"/>
      <c r="O167" s="33"/>
      <c r="P167" s="31"/>
      <c r="Q167" s="31"/>
      <c r="R167" s="31"/>
    </row>
    <row r="168" spans="1:18" x14ac:dyDescent="0.3">
      <c r="A168" s="33"/>
      <c r="B168" s="31"/>
      <c r="C168" s="31"/>
      <c r="D168" s="31"/>
      <c r="E168" s="31"/>
      <c r="F168" s="31"/>
      <c r="G168" s="31"/>
      <c r="H168" s="31"/>
      <c r="I168" s="31"/>
      <c r="J168" s="34"/>
      <c r="K168" s="31"/>
      <c r="L168" s="31"/>
      <c r="M168" s="32"/>
      <c r="N168" s="31"/>
      <c r="O168" s="33"/>
      <c r="P168" s="31"/>
      <c r="Q168" s="31"/>
      <c r="R168" s="31"/>
    </row>
    <row r="169" spans="1:18" x14ac:dyDescent="0.3">
      <c r="A169" s="33"/>
      <c r="B169" s="31"/>
      <c r="C169" s="31"/>
      <c r="D169" s="31"/>
      <c r="E169" s="31"/>
      <c r="F169" s="31"/>
      <c r="G169" s="31"/>
      <c r="H169" s="31"/>
      <c r="I169" s="31"/>
      <c r="J169" s="34"/>
      <c r="K169" s="31"/>
      <c r="L169" s="31"/>
      <c r="M169" s="32"/>
      <c r="N169" s="31"/>
      <c r="O169" s="33"/>
      <c r="P169" s="31"/>
      <c r="Q169" s="31"/>
      <c r="R169" s="31"/>
    </row>
    <row r="170" spans="1:18" x14ac:dyDescent="0.3">
      <c r="A170" s="33"/>
      <c r="B170" s="31"/>
      <c r="C170" s="31"/>
      <c r="D170" s="31"/>
      <c r="E170" s="31"/>
      <c r="F170" s="31"/>
      <c r="G170" s="31"/>
      <c r="H170" s="31"/>
      <c r="I170" s="31"/>
      <c r="J170" s="34"/>
      <c r="K170" s="31"/>
      <c r="L170" s="31"/>
      <c r="M170" s="32"/>
      <c r="N170" s="31"/>
      <c r="O170" s="33"/>
      <c r="P170" s="31"/>
      <c r="Q170" s="31"/>
      <c r="R170" s="31"/>
    </row>
    <row r="171" spans="1:18" x14ac:dyDescent="0.3">
      <c r="A171" s="33"/>
      <c r="B171" s="31"/>
      <c r="C171" s="31"/>
      <c r="D171" s="31"/>
      <c r="E171" s="31"/>
      <c r="F171" s="31"/>
      <c r="G171" s="31"/>
      <c r="H171" s="31"/>
      <c r="I171" s="31"/>
      <c r="J171" s="34"/>
      <c r="K171" s="31"/>
      <c r="L171" s="31"/>
      <c r="M171" s="32"/>
      <c r="N171" s="31"/>
      <c r="O171" s="33"/>
      <c r="P171" s="31"/>
      <c r="Q171" s="31"/>
      <c r="R171" s="31"/>
    </row>
    <row r="172" spans="1:18" x14ac:dyDescent="0.3">
      <c r="A172" s="33"/>
      <c r="B172" s="31"/>
      <c r="C172" s="31"/>
      <c r="D172" s="31"/>
      <c r="E172" s="31"/>
      <c r="F172" s="31"/>
      <c r="G172" s="31"/>
      <c r="H172" s="31"/>
      <c r="I172" s="31"/>
      <c r="J172" s="34"/>
      <c r="K172" s="31"/>
      <c r="L172" s="31"/>
      <c r="M172" s="32"/>
      <c r="N172" s="31"/>
      <c r="O172" s="33"/>
      <c r="P172" s="31"/>
      <c r="Q172" s="31"/>
      <c r="R172" s="31"/>
    </row>
    <row r="173" spans="1:18" x14ac:dyDescent="0.3">
      <c r="A173" s="33"/>
      <c r="B173" s="31"/>
      <c r="C173" s="31"/>
      <c r="D173" s="31"/>
      <c r="E173" s="31"/>
      <c r="F173" s="31"/>
      <c r="G173" s="31"/>
      <c r="H173" s="31"/>
      <c r="I173" s="31"/>
      <c r="J173" s="34"/>
      <c r="K173" s="31"/>
      <c r="L173" s="31"/>
      <c r="M173" s="32"/>
      <c r="N173" s="31"/>
      <c r="O173" s="33"/>
      <c r="P173" s="31"/>
      <c r="Q173" s="31"/>
      <c r="R173" s="31"/>
    </row>
    <row r="174" spans="1:18" x14ac:dyDescent="0.3">
      <c r="A174" s="33"/>
      <c r="B174" s="31"/>
      <c r="C174" s="31"/>
      <c r="D174" s="31"/>
      <c r="E174" s="31"/>
      <c r="F174" s="31"/>
      <c r="G174" s="31"/>
      <c r="H174" s="31"/>
      <c r="I174" s="31"/>
      <c r="J174" s="34"/>
      <c r="K174" s="31"/>
      <c r="L174" s="31"/>
      <c r="M174" s="32"/>
      <c r="N174" s="31"/>
      <c r="O174" s="33"/>
      <c r="P174" s="31"/>
      <c r="Q174" s="31"/>
      <c r="R174" s="31"/>
    </row>
    <row r="175" spans="1:18" x14ac:dyDescent="0.3">
      <c r="A175" s="33"/>
      <c r="B175" s="31"/>
      <c r="C175" s="31"/>
      <c r="D175" s="31"/>
      <c r="E175" s="31"/>
      <c r="F175" s="31"/>
      <c r="G175" s="31"/>
      <c r="H175" s="31"/>
      <c r="I175" s="31"/>
      <c r="J175" s="34"/>
      <c r="K175" s="31"/>
      <c r="L175" s="31"/>
      <c r="M175" s="32"/>
      <c r="N175" s="31"/>
      <c r="O175" s="33"/>
      <c r="P175" s="31"/>
      <c r="Q175" s="31"/>
      <c r="R175" s="31"/>
    </row>
    <row r="176" spans="1:18" x14ac:dyDescent="0.3">
      <c r="A176" s="33"/>
      <c r="B176" s="31"/>
      <c r="C176" s="31"/>
      <c r="D176" s="31"/>
      <c r="E176" s="31"/>
      <c r="F176" s="31"/>
      <c r="G176" s="31"/>
      <c r="H176" s="31"/>
      <c r="I176" s="31"/>
      <c r="J176" s="34"/>
      <c r="K176" s="31"/>
      <c r="L176" s="31"/>
      <c r="M176" s="32"/>
      <c r="N176" s="31"/>
      <c r="O176" s="33"/>
      <c r="P176" s="31"/>
      <c r="Q176" s="31"/>
      <c r="R176" s="31"/>
    </row>
    <row r="177" spans="1:18" x14ac:dyDescent="0.3">
      <c r="A177" s="33"/>
      <c r="B177" s="31"/>
      <c r="C177" s="31"/>
      <c r="D177" s="31"/>
      <c r="E177" s="31"/>
      <c r="F177" s="31"/>
      <c r="G177" s="31"/>
      <c r="H177" s="31"/>
      <c r="I177" s="31"/>
      <c r="J177" s="34"/>
      <c r="K177" s="31"/>
      <c r="L177" s="31"/>
      <c r="M177" s="32"/>
      <c r="N177" s="31"/>
      <c r="O177" s="33"/>
      <c r="P177" s="31"/>
      <c r="Q177" s="31"/>
      <c r="R177" s="31"/>
    </row>
    <row r="178" spans="1:18" x14ac:dyDescent="0.3">
      <c r="A178" s="33"/>
      <c r="B178" s="31"/>
      <c r="C178" s="31"/>
      <c r="D178" s="31"/>
      <c r="E178" s="31"/>
      <c r="F178" s="31"/>
      <c r="G178" s="31"/>
      <c r="H178" s="31"/>
      <c r="I178" s="31"/>
      <c r="J178" s="34"/>
      <c r="K178" s="31"/>
      <c r="L178" s="31"/>
      <c r="M178" s="32"/>
      <c r="N178" s="31"/>
      <c r="O178" s="33"/>
      <c r="P178" s="31"/>
      <c r="Q178" s="31"/>
      <c r="R178" s="31"/>
    </row>
    <row r="179" spans="1:18" x14ac:dyDescent="0.3">
      <c r="A179" s="33"/>
      <c r="B179" s="31"/>
      <c r="C179" s="31"/>
      <c r="D179" s="31"/>
      <c r="E179" s="31"/>
      <c r="F179" s="31"/>
      <c r="G179" s="31"/>
      <c r="H179" s="31"/>
      <c r="I179" s="31"/>
      <c r="J179" s="34"/>
      <c r="K179" s="31"/>
      <c r="L179" s="31"/>
      <c r="M179" s="32"/>
      <c r="N179" s="31"/>
      <c r="O179" s="33"/>
      <c r="P179" s="31"/>
      <c r="Q179" s="31"/>
      <c r="R179" s="31"/>
    </row>
    <row r="180" spans="1:18" x14ac:dyDescent="0.3">
      <c r="A180" s="33"/>
      <c r="B180" s="31"/>
      <c r="C180" s="31"/>
      <c r="D180" s="31"/>
      <c r="E180" s="31"/>
      <c r="F180" s="31"/>
      <c r="G180" s="31"/>
      <c r="H180" s="31"/>
      <c r="I180" s="31"/>
      <c r="J180" s="34"/>
      <c r="K180" s="31"/>
      <c r="L180" s="31"/>
      <c r="M180" s="32"/>
      <c r="N180" s="31"/>
      <c r="O180" s="33"/>
      <c r="P180" s="31"/>
      <c r="Q180" s="31"/>
      <c r="R180" s="31"/>
    </row>
    <row r="181" spans="1:18" x14ac:dyDescent="0.3">
      <c r="A181" s="33"/>
      <c r="B181" s="31"/>
      <c r="C181" s="31"/>
      <c r="D181" s="31"/>
      <c r="E181" s="31"/>
      <c r="F181" s="31"/>
      <c r="G181" s="31"/>
      <c r="H181" s="31"/>
      <c r="I181" s="31"/>
      <c r="J181" s="34"/>
      <c r="K181" s="31"/>
      <c r="L181" s="31"/>
      <c r="M181" s="32"/>
      <c r="N181" s="31"/>
      <c r="O181" s="33"/>
      <c r="P181" s="31"/>
      <c r="Q181" s="31"/>
      <c r="R181" s="31"/>
    </row>
    <row r="182" spans="1:18" x14ac:dyDescent="0.3">
      <c r="A182" s="33"/>
      <c r="B182" s="31"/>
      <c r="C182" s="31"/>
      <c r="D182" s="31"/>
      <c r="E182" s="31"/>
      <c r="F182" s="31"/>
      <c r="G182" s="31"/>
      <c r="H182" s="31"/>
      <c r="I182" s="31"/>
      <c r="J182" s="34"/>
      <c r="K182" s="31"/>
      <c r="L182" s="31"/>
      <c r="M182" s="32"/>
      <c r="N182" s="31"/>
      <c r="O182" s="33"/>
      <c r="P182" s="31"/>
      <c r="Q182" s="31"/>
      <c r="R182" s="31"/>
    </row>
    <row r="183" spans="1:18" x14ac:dyDescent="0.3">
      <c r="A183" s="35"/>
      <c r="B183" s="36"/>
      <c r="C183" s="36"/>
      <c r="D183" s="36"/>
      <c r="E183" s="36"/>
      <c r="F183" s="36"/>
      <c r="G183" s="36"/>
      <c r="H183" s="36"/>
      <c r="I183" s="36"/>
      <c r="J183" s="37"/>
      <c r="K183" s="31"/>
      <c r="L183" s="31"/>
      <c r="M183" s="32"/>
      <c r="N183" s="31"/>
      <c r="O183" s="35"/>
      <c r="P183" s="36"/>
      <c r="Q183" s="36"/>
      <c r="R183" s="36"/>
    </row>
  </sheetData>
  <mergeCells count="2">
    <mergeCell ref="A1:M1"/>
    <mergeCell ref="O1:R1"/>
  </mergeCells>
  <conditionalFormatting sqref="I22:I57">
    <cfRule type="expression" dxfId="6" priority="1">
      <formula>"I$26=""Training"""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F07D-EAAB-4602-81E3-F7615A4197E9}">
  <dimension ref="A1:AA150"/>
  <sheetViews>
    <sheetView topLeftCell="A3" zoomScale="85" zoomScaleNormal="85" workbookViewId="0">
      <selection activeCell="D22" sqref="D22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1" ht="23.4" x14ac:dyDescent="0.4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O1" s="81" t="s">
        <v>47</v>
      </c>
      <c r="P1" s="81"/>
      <c r="Q1" s="81"/>
      <c r="R1" s="81"/>
    </row>
    <row r="3" spans="1:21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1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_xlfn.MAXIFS(Estimates_Effect_m_L[Error],Estimates_Effect_m_L[T / V],"Training")</f>
        <v>18.038135374019358</v>
      </c>
      <c r="R4" s="2"/>
      <c r="T4"/>
    </row>
    <row r="5" spans="1:21" x14ac:dyDescent="0.3">
      <c r="B5" s="11" t="s">
        <v>21</v>
      </c>
      <c r="C5" s="10">
        <v>0.7</v>
      </c>
      <c r="D5" s="10">
        <f>Training*D9</f>
        <v>25.2</v>
      </c>
      <c r="J5"/>
      <c r="K5"/>
      <c r="L5"/>
      <c r="M5" s="9"/>
      <c r="N5"/>
      <c r="O5" s="39"/>
      <c r="P5" s="2" t="s">
        <v>29</v>
      </c>
      <c r="Q5" s="3">
        <f ca="1">_xlfn.MINIFS(Estimates_Effect_m_L[Error],Estimates_Effect_m_L[T / V],"Training")</f>
        <v>1.0447706326802018</v>
      </c>
      <c r="R5" s="2"/>
      <c r="T5"/>
    </row>
    <row r="6" spans="1:21" x14ac:dyDescent="0.3">
      <c r="B6" s="12" t="s">
        <v>22</v>
      </c>
      <c r="C6" s="3">
        <f>1-C5</f>
        <v>0.30000000000000004</v>
      </c>
      <c r="D6" s="3">
        <f>Validation*D9</f>
        <v>10.8</v>
      </c>
      <c r="J6"/>
      <c r="K6"/>
      <c r="L6"/>
      <c r="M6" s="9"/>
      <c r="N6"/>
      <c r="O6" s="39"/>
      <c r="P6" s="2" t="s">
        <v>30</v>
      </c>
      <c r="Q6" s="3">
        <f ca="1">AVERAGEIFS(Estimates_Effect_m_L[Error],Estimates_Effect_m_L[T / V],"Training")</f>
        <v>5.5814141976230554</v>
      </c>
      <c r="R6" s="2"/>
      <c r="T6"/>
    </row>
    <row r="7" spans="1:21" x14ac:dyDescent="0.3">
      <c r="B7" s="12" t="s">
        <v>43</v>
      </c>
      <c r="D7" s="3">
        <v>12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_xlfn.MAXIFS(Estimates_Effect_m_L[Error],Estimates_Effect_m_L[T / V],"Validation")</f>
        <v>17.545771727415161</v>
      </c>
      <c r="R7" s="2"/>
      <c r="T7"/>
    </row>
    <row r="8" spans="1:21" x14ac:dyDescent="0.3">
      <c r="B8" s="3" t="s">
        <v>42</v>
      </c>
      <c r="D8" s="3">
        <v>12</v>
      </c>
      <c r="J8"/>
      <c r="K8"/>
      <c r="L8"/>
      <c r="M8" s="9"/>
      <c r="N8"/>
      <c r="O8" s="39"/>
      <c r="P8" s="2" t="s">
        <v>29</v>
      </c>
      <c r="Q8" s="3">
        <f ca="1">_xlfn.MINIFS(Estimates_Effect_m_L[Error],Estimates_Effect_m_L[T / V],"Validation")</f>
        <v>0.27769710955666438</v>
      </c>
      <c r="R8" s="2"/>
      <c r="T8"/>
    </row>
    <row r="9" spans="1:21" x14ac:dyDescent="0.3">
      <c r="B9" s="13" t="s">
        <v>23</v>
      </c>
      <c r="C9" s="7">
        <v>1</v>
      </c>
      <c r="D9" s="7">
        <f>12*3</f>
        <v>36</v>
      </c>
      <c r="J9"/>
      <c r="K9"/>
      <c r="L9"/>
      <c r="M9" s="9"/>
      <c r="N9"/>
      <c r="O9" s="39"/>
      <c r="P9" s="2" t="s">
        <v>30</v>
      </c>
      <c r="Q9" s="3">
        <f ca="1">AVERAGEIFS(Estimates_Effect_m_L[Error],Estimates_Effect_m_L[T / V],"Validation")</f>
        <v>5.1338366044614512</v>
      </c>
      <c r="R9" s="2"/>
      <c r="T9"/>
    </row>
    <row r="10" spans="1:21" x14ac:dyDescent="0.3">
      <c r="J10"/>
      <c r="K10"/>
      <c r="L10"/>
      <c r="M10" s="9"/>
      <c r="N10"/>
      <c r="O10" s="39" t="str">
        <f>B7</f>
        <v>Mass Effect</v>
      </c>
      <c r="P10" s="2" t="s">
        <v>28</v>
      </c>
      <c r="Q10" s="3">
        <f ca="1">_xlfn.MAXIFS(Estimates_Effect_m_L[Error],Estimates_Effect_m_L[T / V],$B$7)</f>
        <v>7.7474160431325254</v>
      </c>
      <c r="R10" s="2"/>
      <c r="T10"/>
    </row>
    <row r="11" spans="1:21" x14ac:dyDescent="0.3">
      <c r="B11" s="39" t="s">
        <v>34</v>
      </c>
      <c r="C11" s="13"/>
      <c r="J11"/>
      <c r="K11"/>
      <c r="L11"/>
      <c r="M11" s="9"/>
      <c r="N11"/>
      <c r="O11" s="39"/>
      <c r="P11" s="2" t="s">
        <v>29</v>
      </c>
      <c r="Q11" s="3">
        <f ca="1">_xlfn.MINIFS(Estimates_Effect_m_L[Error],Estimates_Effect_m_L[T / V],B7)</f>
        <v>1.2445348791749297E-3</v>
      </c>
      <c r="R11" s="2"/>
      <c r="T11"/>
    </row>
    <row r="12" spans="1:21" x14ac:dyDescent="0.3">
      <c r="B12" s="11" t="s">
        <v>15</v>
      </c>
      <c r="C12" s="3">
        <f ca="1">SUMPRODUCT(F85:F109,G85:G109)/SUMSQ(F85:F109)</f>
        <v>20.078285555289266</v>
      </c>
      <c r="G12"/>
      <c r="H12" s="2"/>
      <c r="I12"/>
      <c r="J12"/>
      <c r="K12"/>
      <c r="L12"/>
      <c r="M12" s="9"/>
      <c r="N12"/>
      <c r="O12" s="2"/>
      <c r="P12" s="2" t="s">
        <v>30</v>
      </c>
      <c r="Q12" s="3">
        <f ca="1">AVERAGEIFS(Estimates_Effect_m_L[Error],Estimates_Effect_m_L[T / V],B7)</f>
        <v>3.8893709866445287</v>
      </c>
      <c r="R12" s="2"/>
      <c r="T12"/>
    </row>
    <row r="13" spans="1:21" x14ac:dyDescent="0.3">
      <c r="B13" s="12" t="s">
        <v>14</v>
      </c>
      <c r="C13" s="3">
        <v>0</v>
      </c>
      <c r="N13" s="15"/>
      <c r="O13" s="12" t="str">
        <f>B8</f>
        <v>Latent Heat Effect</v>
      </c>
      <c r="P13" s="2" t="s">
        <v>28</v>
      </c>
      <c r="Q13" s="3">
        <f ca="1">_xlfn.MAXIFS(Estimates_Effect_m_L[Error],Estimates_Effect_m_L[T / V],$B$8)</f>
        <v>17.267575618010568</v>
      </c>
      <c r="R13" s="2"/>
      <c r="T13"/>
    </row>
    <row r="14" spans="1:21" ht="16.2" x14ac:dyDescent="0.3">
      <c r="B14" s="13" t="s">
        <v>31</v>
      </c>
      <c r="C14" s="7">
        <f ca="1">1-SUMSQ(K74:K123)/SUMSQ(L74:L123)</f>
        <v>0.94924585781409632</v>
      </c>
      <c r="N14" s="5"/>
      <c r="P14" s="2" t="s">
        <v>29</v>
      </c>
      <c r="Q14" s="3">
        <f ca="1">_xlfn.MINIFS(Estimates_Effect_m_L[Error],Estimates_Effect_m_L[T / V],B8)</f>
        <v>0.86205227307858956</v>
      </c>
      <c r="R14" s="15"/>
      <c r="T14"/>
    </row>
    <row r="15" spans="1:21" x14ac:dyDescent="0.3">
      <c r="N15" s="5"/>
      <c r="O15" s="72"/>
      <c r="P15" s="4" t="s">
        <v>30</v>
      </c>
      <c r="Q15" s="72">
        <f ca="1">AVERAGEIFS(Estimates_Effect_m_L[Error],Estimates_Effect_m_L[T / V],B8)</f>
        <v>9.2787181343122089</v>
      </c>
      <c r="R15" s="5"/>
      <c r="S15" s="5"/>
      <c r="T15"/>
    </row>
    <row r="16" spans="1:21" x14ac:dyDescent="0.3">
      <c r="B16" s="51" t="s">
        <v>39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15"/>
    </row>
    <row r="17" spans="1:27" ht="15.6" x14ac:dyDescent="0.35">
      <c r="B17" s="14" t="s">
        <v>40</v>
      </c>
      <c r="C17" s="14" t="s">
        <v>41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5"/>
    </row>
    <row r="18" spans="1:27" x14ac:dyDescent="0.3">
      <c r="B18" s="10">
        <v>6</v>
      </c>
      <c r="C18" s="10">
        <f ca="1">B18*C12</f>
        <v>120.46971333173559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15"/>
    </row>
    <row r="19" spans="1:27" x14ac:dyDescent="0.3">
      <c r="B19" s="7">
        <v>28</v>
      </c>
      <c r="C19" s="7">
        <f ca="1">B19*C12</f>
        <v>562.1919955480995</v>
      </c>
      <c r="N19" s="40"/>
      <c r="O19" s="15"/>
      <c r="P19" s="15"/>
      <c r="Q19" s="15"/>
      <c r="R19" s="15"/>
      <c r="S19" s="15"/>
      <c r="T19" s="15"/>
      <c r="U19" s="15"/>
    </row>
    <row r="20" spans="1:27" x14ac:dyDescent="0.3">
      <c r="N20" s="40"/>
      <c r="O20" s="5"/>
      <c r="P20" s="5"/>
      <c r="Q20" s="5"/>
      <c r="R20" s="5"/>
      <c r="S20" s="5"/>
      <c r="T20" s="5"/>
      <c r="U20" s="5"/>
    </row>
    <row r="21" spans="1:27" x14ac:dyDescent="0.3">
      <c r="N21" s="40"/>
      <c r="O21" s="5"/>
      <c r="P21" s="5"/>
      <c r="Q21" s="5"/>
      <c r="R21" s="5"/>
      <c r="S21" s="5"/>
      <c r="T21" s="5"/>
      <c r="U21" s="41"/>
    </row>
    <row r="22" spans="1:27" x14ac:dyDescent="0.3">
      <c r="A22" s="3" t="s">
        <v>0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13</v>
      </c>
      <c r="J22" s="3" t="s">
        <v>19</v>
      </c>
      <c r="O22" s="3" t="s">
        <v>16</v>
      </c>
      <c r="P22" s="3" t="s">
        <v>20</v>
      </c>
      <c r="Q22" s="3" t="s">
        <v>13</v>
      </c>
      <c r="R22" s="3" t="s">
        <v>32</v>
      </c>
      <c r="AA22" s="1"/>
    </row>
    <row r="23" spans="1:27" x14ac:dyDescent="0.3">
      <c r="A23" s="3" t="s">
        <v>11</v>
      </c>
      <c r="B23" s="3">
        <v>170</v>
      </c>
      <c r="C23" s="3" t="s">
        <v>9</v>
      </c>
      <c r="D23" s="3">
        <v>1</v>
      </c>
      <c r="E23" s="3">
        <v>2</v>
      </c>
      <c r="F23" s="3">
        <v>12.414593957682301</v>
      </c>
      <c r="G23" s="3">
        <v>251.89549266775174</v>
      </c>
      <c r="H23" s="3">
        <v>20.290272362220573</v>
      </c>
      <c r="I23" s="3" t="str">
        <f>IF(ROWS($I$23:I23)&lt;=n_T,"Training",IF(AND(Data_Effect_m_L[[#This Row],[PCM]]&lt;&gt;"RT8 (15mm)",Data_Effect_m_L[[#This Row],[PCM]]&lt;&gt;"RT18"),"Validation",IF(Data_Effect_m_L[[#This Row],[PCM]]="RT8 (15mm)",$B$7,$B$8)))</f>
        <v>Training</v>
      </c>
      <c r="J23" s="3">
        <f ca="1">IF(OR(Data_Effect_m_L[[#This Row],[T / V]]="Training",Data_Effect_m_L[[#This Row],[T / V]]="Validation"),RAND(),IF(Data_Effect_m_L[[#This Row],[PCM]]="RT8 (15mm)",1.1,1.2))</f>
        <v>0.7861317727407473</v>
      </c>
      <c r="K23" s="52"/>
      <c r="L23" s="52"/>
      <c r="O23" s="3">
        <f>Data_Effect_m_L[[#This Row],[A_q]]</f>
        <v>251.89549266775174</v>
      </c>
      <c r="P23" s="3">
        <f ca="1">Data_Effect_m_L[[#This Row],[A_T]]*$C$12</f>
        <v>249.26376253531396</v>
      </c>
      <c r="Q23" s="3" t="str">
        <f>Data_Effect_m_L[[#This Row],[T / V]]</f>
        <v>Training</v>
      </c>
      <c r="R23" s="3">
        <f ca="1">ABS((Estimates_Effect_m_L[[#This Row],[A_q predicted (b=0)]]-Estimates_Effect_m_L[[#This Row],[A_q measured]])/Estimates_Effect_m_L[[#This Row],[A_q measured]])*100</f>
        <v>1.0447706326802018</v>
      </c>
      <c r="V23" s="2"/>
    </row>
    <row r="24" spans="1:27" x14ac:dyDescent="0.3">
      <c r="A24" s="3" t="s">
        <v>11</v>
      </c>
      <c r="B24" s="3">
        <v>170</v>
      </c>
      <c r="C24" s="3" t="s">
        <v>9</v>
      </c>
      <c r="D24" s="3">
        <v>0.5</v>
      </c>
      <c r="E24" s="3">
        <v>2</v>
      </c>
      <c r="F24" s="3">
        <v>11.776659612500808</v>
      </c>
      <c r="G24" s="3">
        <v>233.47361453749977</v>
      </c>
      <c r="H24" s="3">
        <v>19.825113590756231</v>
      </c>
      <c r="I24" s="3" t="str">
        <f>IF(ROWS($I$23:I24)&lt;=n_T,"Training",IF(AND(Data_Effect_m_L[[#This Row],[PCM]]&lt;&gt;"RT8 (15mm)",Data_Effect_m_L[[#This Row],[PCM]]&lt;&gt;"RT18"),"Validation",IF(Data_Effect_m_L[[#This Row],[PCM]]="RT8 (15mm)",$B$7,$B$8)))</f>
        <v>Training</v>
      </c>
      <c r="J24" s="3">
        <f ca="1">IF(OR(Data_Effect_m_L[[#This Row],[T / V]]="Training",Data_Effect_m_L[[#This Row],[T / V]]="Validation"),RAND(),IF(Data_Effect_m_L[[#This Row],[PCM]]="RT8 (15mm)",1.1,1.2))</f>
        <v>0.62962619548709398</v>
      </c>
      <c r="K24" s="52"/>
      <c r="L24" s="52"/>
      <c r="O24" s="3">
        <f>Data_Effect_m_L[[#This Row],[A_q]]</f>
        <v>233.47361453749977</v>
      </c>
      <c r="P24" s="3">
        <f ca="1">Data_Effect_m_L[[#This Row],[A_T]]*$C$12</f>
        <v>236.45513458723346</v>
      </c>
      <c r="Q24" s="3" t="str">
        <f>Data_Effect_m_L[[#This Row],[T / V]]</f>
        <v>Training</v>
      </c>
      <c r="R24" s="3">
        <f ca="1">ABS((Estimates_Effect_m_L[[#This Row],[A_q predicted (b=0)]]-Estimates_Effect_m_L[[#This Row],[A_q measured]])/Estimates_Effect_m_L[[#This Row],[A_q measured]])*100</f>
        <v>1.2770265520752482</v>
      </c>
    </row>
    <row r="25" spans="1:27" x14ac:dyDescent="0.3">
      <c r="A25" s="3" t="s">
        <v>8</v>
      </c>
      <c r="B25" s="3">
        <v>170</v>
      </c>
      <c r="C25" s="3" t="s">
        <v>9</v>
      </c>
      <c r="D25" s="3">
        <v>0.5</v>
      </c>
      <c r="E25" s="3">
        <v>1</v>
      </c>
      <c r="F25" s="3">
        <v>9.9350536485328842</v>
      </c>
      <c r="G25" s="3">
        <v>186.1133247973641</v>
      </c>
      <c r="H25" s="3">
        <v>18.732996456928802</v>
      </c>
      <c r="I25" s="3" t="str">
        <f>IF(ROWS($I$23:I25)&lt;=n_T,"Training",IF(AND(Data_Effect_m_L[[#This Row],[PCM]]&lt;&gt;"RT8 (15mm)",Data_Effect_m_L[[#This Row],[PCM]]&lt;&gt;"RT18"),"Validation",IF(Data_Effect_m_L[[#This Row],[PCM]]="RT8 (15mm)",$B$7,$B$8)))</f>
        <v>Training</v>
      </c>
      <c r="J25" s="3">
        <f ca="1">IF(OR(Data_Effect_m_L[[#This Row],[T / V]]="Training",Data_Effect_m_L[[#This Row],[T / V]]="Validation"),RAND(),IF(Data_Effect_m_L[[#This Row],[PCM]]="RT8 (15mm)",1.1,1.2))</f>
        <v>0.92617854625756169</v>
      </c>
      <c r="K25" s="52"/>
      <c r="L25" s="52"/>
      <c r="O25" s="3">
        <f>Data_Effect_m_L[[#This Row],[A_q]]</f>
        <v>186.1133247973641</v>
      </c>
      <c r="P25" s="3">
        <f ca="1">Data_Effect_m_L[[#This Row],[A_T]]*$C$12</f>
        <v>199.47884416236172</v>
      </c>
      <c r="Q25" s="3" t="str">
        <f>Data_Effect_m_L[[#This Row],[T / V]]</f>
        <v>Training</v>
      </c>
      <c r="R25" s="3">
        <f ca="1">ABS((Estimates_Effect_m_L[[#This Row],[A_q predicted (b=0)]]-Estimates_Effect_m_L[[#This Row],[A_q measured]])/Estimates_Effect_m_L[[#This Row],[A_q measured]])*100</f>
        <v>7.1813876731016943</v>
      </c>
    </row>
    <row r="26" spans="1:27" x14ac:dyDescent="0.3">
      <c r="A26" s="3" t="s">
        <v>8</v>
      </c>
      <c r="B26" s="3">
        <v>170</v>
      </c>
      <c r="C26" s="3" t="s">
        <v>10</v>
      </c>
      <c r="D26" s="3">
        <v>1</v>
      </c>
      <c r="E26" s="3">
        <v>2</v>
      </c>
      <c r="F26" s="3">
        <v>9.3620263278695397</v>
      </c>
      <c r="G26" s="3">
        <v>159.24805774971134</v>
      </c>
      <c r="H26" s="3">
        <v>17.009998922525028</v>
      </c>
      <c r="I26" s="3" t="str">
        <f>IF(ROWS($I$23:I26)&lt;=n_T,"Training",IF(AND(Data_Effect_m_L[[#This Row],[PCM]]&lt;&gt;"RT8 (15mm)",Data_Effect_m_L[[#This Row],[PCM]]&lt;&gt;"RT18"),"Validation",IF(Data_Effect_m_L[[#This Row],[PCM]]="RT8 (15mm)",$B$7,$B$8)))</f>
        <v>Training</v>
      </c>
      <c r="J26" s="3">
        <f ca="1">IF(OR(Data_Effect_m_L[[#This Row],[T / V]]="Training",Data_Effect_m_L[[#This Row],[T / V]]="Validation"),RAND(),IF(Data_Effect_m_L[[#This Row],[PCM]]="RT8 (15mm)",1.1,1.2))</f>
        <v>0.74122014790109025</v>
      </c>
      <c r="K26" s="52"/>
      <c r="L26" s="52"/>
      <c r="O26" s="3">
        <f>Data_Effect_m_L[[#This Row],[A_q]]</f>
        <v>159.24805774971134</v>
      </c>
      <c r="P26" s="3">
        <f ca="1">Data_Effect_m_L[[#This Row],[A_T]]*$C$12</f>
        <v>187.97343798710079</v>
      </c>
      <c r="Q26" s="3" t="str">
        <f>Data_Effect_m_L[[#This Row],[T / V]]</f>
        <v>Training</v>
      </c>
      <c r="R26" s="3">
        <f ca="1">ABS((Estimates_Effect_m_L[[#This Row],[A_q predicted (b=0)]]-Estimates_Effect_m_L[[#This Row],[A_q measured]])/Estimates_Effect_m_L[[#This Row],[A_q measured]])*100</f>
        <v>18.038135374019358</v>
      </c>
    </row>
    <row r="27" spans="1:27" x14ac:dyDescent="0.3">
      <c r="A27" s="3" t="s">
        <v>11</v>
      </c>
      <c r="B27" s="3">
        <v>170</v>
      </c>
      <c r="C27" s="3" t="s">
        <v>9</v>
      </c>
      <c r="D27" s="3">
        <v>1</v>
      </c>
      <c r="E27" s="3">
        <v>3</v>
      </c>
      <c r="F27" s="3">
        <v>12.285332570093937</v>
      </c>
      <c r="G27" s="3">
        <v>256.57732728687955</v>
      </c>
      <c r="H27" s="3">
        <v>20.884849947934107</v>
      </c>
      <c r="I27" s="3" t="str">
        <f>IF(ROWS($I$23:I27)&lt;=n_T,"Training",IF(AND(Data_Effect_m_L[[#This Row],[PCM]]&lt;&gt;"RT8 (15mm)",Data_Effect_m_L[[#This Row],[PCM]]&lt;&gt;"RT18"),"Validation",IF(Data_Effect_m_L[[#This Row],[PCM]]="RT8 (15mm)",$B$7,$B$8)))</f>
        <v>Training</v>
      </c>
      <c r="J27" s="3">
        <f ca="1">IF(OR(Data_Effect_m_L[[#This Row],[T / V]]="Training",Data_Effect_m_L[[#This Row],[T / V]]="Validation"),RAND(),IF(Data_Effect_m_L[[#This Row],[PCM]]="RT8 (15mm)",1.1,1.2))</f>
        <v>0.84665512092458939</v>
      </c>
      <c r="K27" s="52"/>
      <c r="L27" s="52"/>
      <c r="O27" s="3">
        <f>Data_Effect_m_L[[#This Row],[A_q]]</f>
        <v>256.57732728687955</v>
      </c>
      <c r="P27" s="3">
        <f ca="1">Data_Effect_m_L[[#This Row],[A_T]]*$C$12</f>
        <v>246.66841548404184</v>
      </c>
      <c r="Q27" s="3" t="str">
        <f>Data_Effect_m_L[[#This Row],[T / V]]</f>
        <v>Training</v>
      </c>
      <c r="R27" s="3">
        <f ca="1">ABS((Estimates_Effect_m_L[[#This Row],[A_q predicted (b=0)]]-Estimates_Effect_m_L[[#This Row],[A_q measured]])/Estimates_Effect_m_L[[#This Row],[A_q measured]])*100</f>
        <v>3.8619592415344384</v>
      </c>
    </row>
    <row r="28" spans="1:27" x14ac:dyDescent="0.3">
      <c r="A28" s="3" t="s">
        <v>12</v>
      </c>
      <c r="B28" s="3">
        <v>170</v>
      </c>
      <c r="C28" s="3" t="s">
        <v>10</v>
      </c>
      <c r="D28" s="3">
        <v>1</v>
      </c>
      <c r="E28" s="3">
        <v>3</v>
      </c>
      <c r="F28" s="3">
        <v>7.7994267951314544</v>
      </c>
      <c r="G28" s="3">
        <v>182.63889794765294</v>
      </c>
      <c r="H28" s="3">
        <v>23.416964187888716</v>
      </c>
      <c r="I28" s="3" t="str">
        <f>IF(ROWS($I$23:I28)&lt;=n_T,"Training",IF(AND(Data_Effect_m_L[[#This Row],[PCM]]&lt;&gt;"RT8 (15mm)",Data_Effect_m_L[[#This Row],[PCM]]&lt;&gt;"RT18"),"Validation",IF(Data_Effect_m_L[[#This Row],[PCM]]="RT8 (15mm)",$B$7,$B$8)))</f>
        <v>Training</v>
      </c>
      <c r="J28" s="3">
        <f ca="1">IF(OR(Data_Effect_m_L[[#This Row],[T / V]]="Training",Data_Effect_m_L[[#This Row],[T / V]]="Validation"),RAND(),IF(Data_Effect_m_L[[#This Row],[PCM]]="RT8 (15mm)",1.1,1.2))</f>
        <v>0.45116400123298017</v>
      </c>
      <c r="K28" s="52"/>
      <c r="L28" s="52"/>
      <c r="O28" s="3">
        <f>Data_Effect_m_L[[#This Row],[A_q]]</f>
        <v>182.63889794765294</v>
      </c>
      <c r="P28" s="3">
        <f ca="1">Data_Effect_m_L[[#This Row],[A_T]]*$C$12</f>
        <v>156.59911836022394</v>
      </c>
      <c r="Q28" s="3" t="str">
        <f>Data_Effect_m_L[[#This Row],[T / V]]</f>
        <v>Training</v>
      </c>
      <c r="R28" s="3">
        <f ca="1">ABS((Estimates_Effect_m_L[[#This Row],[A_q predicted (b=0)]]-Estimates_Effect_m_L[[#This Row],[A_q measured]])/Estimates_Effect_m_L[[#This Row],[A_q measured]])*100</f>
        <v>14.257521196219871</v>
      </c>
    </row>
    <row r="29" spans="1:27" x14ac:dyDescent="0.3">
      <c r="A29" s="3" t="s">
        <v>8</v>
      </c>
      <c r="B29" s="3">
        <v>170</v>
      </c>
      <c r="C29" s="3" t="s">
        <v>10</v>
      </c>
      <c r="D29" s="3">
        <v>1</v>
      </c>
      <c r="E29" s="3">
        <v>3</v>
      </c>
      <c r="F29" s="3">
        <v>7.872829771852226</v>
      </c>
      <c r="G29" s="3">
        <v>156.15565369073173</v>
      </c>
      <c r="H29" s="3">
        <v>19.834755509262493</v>
      </c>
      <c r="I29" s="3" t="str">
        <f>IF(ROWS($I$23:I29)&lt;=n_T,"Training",IF(AND(Data_Effect_m_L[[#This Row],[PCM]]&lt;&gt;"RT8 (15mm)",Data_Effect_m_L[[#This Row],[PCM]]&lt;&gt;"RT18"),"Validation",IF(Data_Effect_m_L[[#This Row],[PCM]]="RT8 (15mm)",$B$7,$B$8)))</f>
        <v>Training</v>
      </c>
      <c r="J29" s="3">
        <f ca="1">IF(OR(Data_Effect_m_L[[#This Row],[T / V]]="Training",Data_Effect_m_L[[#This Row],[T / V]]="Validation"),RAND(),IF(Data_Effect_m_L[[#This Row],[PCM]]="RT8 (15mm)",1.1,1.2))</f>
        <v>0.96763062485229467</v>
      </c>
      <c r="K29" s="52"/>
      <c r="L29" s="52"/>
      <c r="O29" s="3">
        <f>Data_Effect_m_L[[#This Row],[A_q]]</f>
        <v>156.15565369073173</v>
      </c>
      <c r="P29" s="3">
        <f ca="1">Data_Effect_m_L[[#This Row],[A_T]]*$C$12</f>
        <v>158.07292428743185</v>
      </c>
      <c r="Q29" s="3" t="str">
        <f>Data_Effect_m_L[[#This Row],[T / V]]</f>
        <v>Training</v>
      </c>
      <c r="R29" s="3">
        <f ca="1">ABS((Estimates_Effect_m_L[[#This Row],[A_q predicted (b=0)]]-Estimates_Effect_m_L[[#This Row],[A_q measured]])/Estimates_Effect_m_L[[#This Row],[A_q measured]])*100</f>
        <v>1.2277945443443885</v>
      </c>
    </row>
    <row r="30" spans="1:27" x14ac:dyDescent="0.3">
      <c r="A30" s="3" t="s">
        <v>12</v>
      </c>
      <c r="B30" s="3">
        <v>170</v>
      </c>
      <c r="C30" s="3" t="s">
        <v>10</v>
      </c>
      <c r="D30" s="3">
        <v>1</v>
      </c>
      <c r="E30" s="3">
        <v>1</v>
      </c>
      <c r="F30" s="3">
        <v>13.042056671598727</v>
      </c>
      <c r="G30" s="3">
        <v>266.10625346834951</v>
      </c>
      <c r="H30" s="3">
        <v>20.403703201799502</v>
      </c>
      <c r="I30" s="3" t="str">
        <f>IF(ROWS($I$23:I30)&lt;=n_T,"Training",IF(AND(Data_Effect_m_L[[#This Row],[PCM]]&lt;&gt;"RT8 (15mm)",Data_Effect_m_L[[#This Row],[PCM]]&lt;&gt;"RT18"),"Validation",IF(Data_Effect_m_L[[#This Row],[PCM]]="RT8 (15mm)",$B$7,$B$8)))</f>
        <v>Training</v>
      </c>
      <c r="J30" s="3">
        <f ca="1">IF(OR(Data_Effect_m_L[[#This Row],[T / V]]="Training",Data_Effect_m_L[[#This Row],[T / V]]="Validation"),RAND(),IF(Data_Effect_m_L[[#This Row],[PCM]]="RT8 (15mm)",1.1,1.2))</f>
        <v>0.86792271144284416</v>
      </c>
      <c r="K30" s="52"/>
      <c r="L30" s="52"/>
      <c r="O30" s="3">
        <f>Data_Effect_m_L[[#This Row],[A_q]]</f>
        <v>266.10625346834951</v>
      </c>
      <c r="P30" s="3">
        <f ca="1">Data_Effect_m_L[[#This Row],[A_T]]*$C$12</f>
        <v>261.86213808062473</v>
      </c>
      <c r="Q30" s="3" t="str">
        <f>Data_Effect_m_L[[#This Row],[T / V]]</f>
        <v>Training</v>
      </c>
      <c r="R30" s="3">
        <f ca="1">ABS((Estimates_Effect_m_L[[#This Row],[A_q predicted (b=0)]]-Estimates_Effect_m_L[[#This Row],[A_q measured]])/Estimates_Effect_m_L[[#This Row],[A_q measured]])*100</f>
        <v>1.5948950212211259</v>
      </c>
    </row>
    <row r="31" spans="1:27" x14ac:dyDescent="0.3">
      <c r="A31" s="3" t="s">
        <v>8</v>
      </c>
      <c r="B31" s="3">
        <v>170</v>
      </c>
      <c r="C31" s="3" t="s">
        <v>10</v>
      </c>
      <c r="D31" s="3">
        <v>0.5</v>
      </c>
      <c r="E31" s="3">
        <v>1</v>
      </c>
      <c r="F31" s="3">
        <v>8.0972999999946342</v>
      </c>
      <c r="G31" s="3">
        <v>166.90619999999905</v>
      </c>
      <c r="H31" s="3">
        <v>20.612574561904541</v>
      </c>
      <c r="I31" s="3" t="str">
        <f>IF(ROWS($I$23:I31)&lt;=n_T,"Training",IF(AND(Data_Effect_m_L[[#This Row],[PCM]]&lt;&gt;"RT8 (15mm)",Data_Effect_m_L[[#This Row],[PCM]]&lt;&gt;"RT18"),"Validation",IF(Data_Effect_m_L[[#This Row],[PCM]]="RT8 (15mm)",$B$7,$B$8)))</f>
        <v>Training</v>
      </c>
      <c r="J31" s="3">
        <f ca="1">IF(OR(Data_Effect_m_L[[#This Row],[T / V]]="Training",Data_Effect_m_L[[#This Row],[T / V]]="Validation"),RAND(),IF(Data_Effect_m_L[[#This Row],[PCM]]="RT8 (15mm)",1.1,1.2))</f>
        <v>0.46135075966469796</v>
      </c>
      <c r="K31" s="52"/>
      <c r="L31" s="52"/>
      <c r="O31" s="3">
        <f>Data_Effect_m_L[[#This Row],[A_q]]</f>
        <v>166.90619999999905</v>
      </c>
      <c r="P31" s="3">
        <f ca="1">Data_Effect_m_L[[#This Row],[A_T]]*$C$12</f>
        <v>162.57990162673605</v>
      </c>
      <c r="Q31" s="3" t="str">
        <f>Data_Effect_m_L[[#This Row],[T / V]]</f>
        <v>Training</v>
      </c>
      <c r="R31" s="3">
        <f ca="1">ABS((Estimates_Effect_m_L[[#This Row],[A_q predicted (b=0)]]-Estimates_Effect_m_L[[#This Row],[A_q measured]])/Estimates_Effect_m_L[[#This Row],[A_q measured]])*100</f>
        <v>2.5920537243451864</v>
      </c>
    </row>
    <row r="32" spans="1:27" x14ac:dyDescent="0.3">
      <c r="A32" s="3" t="s">
        <v>12</v>
      </c>
      <c r="B32" s="3">
        <v>170</v>
      </c>
      <c r="C32" s="3" t="s">
        <v>9</v>
      </c>
      <c r="D32" s="3">
        <v>1</v>
      </c>
      <c r="E32" s="3">
        <v>3</v>
      </c>
      <c r="F32" s="3">
        <v>17.283599999999968</v>
      </c>
      <c r="G32" s="3">
        <v>360.78210000000007</v>
      </c>
      <c r="H32" s="3">
        <v>20.874244948969007</v>
      </c>
      <c r="I32" s="3" t="str">
        <f>IF(ROWS($I$23:I32)&lt;=n_T,"Training",IF(AND(Data_Effect_m_L[[#This Row],[PCM]]&lt;&gt;"RT8 (15mm)",Data_Effect_m_L[[#This Row],[PCM]]&lt;&gt;"RT18"),"Validation",IF(Data_Effect_m_L[[#This Row],[PCM]]="RT8 (15mm)",$B$7,$B$8)))</f>
        <v>Training</v>
      </c>
      <c r="J32" s="3">
        <f ca="1">IF(OR(Data_Effect_m_L[[#This Row],[T / V]]="Training",Data_Effect_m_L[[#This Row],[T / V]]="Validation"),RAND(),IF(Data_Effect_m_L[[#This Row],[PCM]]="RT8 (15mm)",1.1,1.2))</f>
        <v>0.72687222094121406</v>
      </c>
      <c r="K32" s="52"/>
      <c r="L32" s="52"/>
      <c r="O32" s="3">
        <f>Data_Effect_m_L[[#This Row],[A_q]]</f>
        <v>360.78210000000007</v>
      </c>
      <c r="P32" s="3">
        <f ca="1">Data_Effect_m_L[[#This Row],[A_T]]*$C$12</f>
        <v>347.02505622339692</v>
      </c>
      <c r="Q32" s="3" t="str">
        <f>Data_Effect_m_L[[#This Row],[T / V]]</f>
        <v>Training</v>
      </c>
      <c r="R32" s="3">
        <f ca="1">ABS((Estimates_Effect_m_L[[#This Row],[A_q predicted (b=0)]]-Estimates_Effect_m_L[[#This Row],[A_q measured]])/Estimates_Effect_m_L[[#This Row],[A_q measured]])*100</f>
        <v>3.8131170522603952</v>
      </c>
    </row>
    <row r="33" spans="1:27" x14ac:dyDescent="0.3">
      <c r="A33" s="3" t="s">
        <v>11</v>
      </c>
      <c r="B33" s="3">
        <v>170</v>
      </c>
      <c r="C33" s="3" t="s">
        <v>9</v>
      </c>
      <c r="D33" s="3">
        <v>1</v>
      </c>
      <c r="E33" s="3">
        <v>1</v>
      </c>
      <c r="F33" s="3">
        <v>11.990650156666428</v>
      </c>
      <c r="G33" s="3">
        <v>261.17692526275397</v>
      </c>
      <c r="H33" s="3">
        <v>21.781715073852585</v>
      </c>
      <c r="I33" s="3" t="str">
        <f>IF(ROWS($I$23:I33)&lt;=n_T,"Training",IF(AND(Data_Effect_m_L[[#This Row],[PCM]]&lt;&gt;"RT8 (15mm)",Data_Effect_m_L[[#This Row],[PCM]]&lt;&gt;"RT18"),"Validation",IF(Data_Effect_m_L[[#This Row],[PCM]]="RT8 (15mm)",$B$7,$B$8)))</f>
        <v>Training</v>
      </c>
      <c r="J33" s="3">
        <f ca="1">IF(OR(Data_Effect_m_L[[#This Row],[T / V]]="Training",Data_Effect_m_L[[#This Row],[T / V]]="Validation"),RAND(),IF(Data_Effect_m_L[[#This Row],[PCM]]="RT8 (15mm)",1.1,1.2))</f>
        <v>0.17436455011812679</v>
      </c>
      <c r="K33" s="52"/>
      <c r="L33" s="52"/>
      <c r="O33" s="3">
        <f>Data_Effect_m_L[[#This Row],[A_q]]</f>
        <v>261.17692526275397</v>
      </c>
      <c r="P33" s="3">
        <f ca="1">Data_Effect_m_L[[#This Row],[A_T]]*$C$12</f>
        <v>240.75169783912253</v>
      </c>
      <c r="Q33" s="3" t="str">
        <f>Data_Effect_m_L[[#This Row],[T / V]]</f>
        <v>Training</v>
      </c>
      <c r="R33" s="3">
        <f ca="1">ABS((Estimates_Effect_m_L[[#This Row],[A_q predicted (b=0)]]-Estimates_Effect_m_L[[#This Row],[A_q measured]])/Estimates_Effect_m_L[[#This Row],[A_q measured]])*100</f>
        <v>7.8204563450936115</v>
      </c>
    </row>
    <row r="34" spans="1:27" s="2" customFormat="1" x14ac:dyDescent="0.3">
      <c r="A34" s="3" t="s">
        <v>8</v>
      </c>
      <c r="B34" s="3">
        <v>170</v>
      </c>
      <c r="C34" s="3" t="s">
        <v>9</v>
      </c>
      <c r="D34" s="3">
        <v>1</v>
      </c>
      <c r="E34" s="3">
        <v>3</v>
      </c>
      <c r="F34" s="3">
        <v>11.346010588618963</v>
      </c>
      <c r="G34" s="3">
        <v>205.62869365733505</v>
      </c>
      <c r="H34" s="3">
        <v>18.123435726703669</v>
      </c>
      <c r="I34" s="3" t="str">
        <f>IF(ROWS($I$23:I34)&lt;=n_T,"Training",IF(AND(Data_Effect_m_L[[#This Row],[PCM]]&lt;&gt;"RT8 (15mm)",Data_Effect_m_L[[#This Row],[PCM]]&lt;&gt;"RT18"),"Validation",IF(Data_Effect_m_L[[#This Row],[PCM]]="RT8 (15mm)",$B$7,$B$8)))</f>
        <v>Training</v>
      </c>
      <c r="J34" s="3">
        <f ca="1">IF(OR(Data_Effect_m_L[[#This Row],[T / V]]="Training",Data_Effect_m_L[[#This Row],[T / V]]="Validation"),RAND(),IF(Data_Effect_m_L[[#This Row],[PCM]]="RT8 (15mm)",1.1,1.2))</f>
        <v>0.23477143101131959</v>
      </c>
      <c r="K34" s="52"/>
      <c r="L34" s="52"/>
      <c r="M34" s="8"/>
      <c r="N34" s="3"/>
      <c r="O34" s="3">
        <f>Data_Effect_m_L[[#This Row],[A_q]]</f>
        <v>205.62869365733505</v>
      </c>
      <c r="P34" s="3">
        <f ca="1">Data_Effect_m_L[[#This Row],[A_T]]*$C$12</f>
        <v>227.8084405116272</v>
      </c>
      <c r="Q34" s="3" t="str">
        <f>Data_Effect_m_L[[#This Row],[T / V]]</f>
        <v>Training</v>
      </c>
      <c r="R34" s="3">
        <f ca="1">ABS((Estimates_Effect_m_L[[#This Row],[A_q predicted (b=0)]]-Estimates_Effect_m_L[[#This Row],[A_q measured]])/Estimates_Effect_m_L[[#This Row],[A_q measured]])*100</f>
        <v>10.786309274158523</v>
      </c>
      <c r="V34"/>
      <c r="W34"/>
      <c r="X34"/>
      <c r="Y34"/>
      <c r="Z34"/>
      <c r="AA34"/>
    </row>
    <row r="35" spans="1:27" s="2" customFormat="1" x14ac:dyDescent="0.3">
      <c r="A35" s="3" t="s">
        <v>11</v>
      </c>
      <c r="B35" s="3">
        <v>170</v>
      </c>
      <c r="C35" s="3" t="s">
        <v>10</v>
      </c>
      <c r="D35" s="3">
        <v>0.5</v>
      </c>
      <c r="E35" s="3">
        <v>2</v>
      </c>
      <c r="F35" s="3">
        <v>12.778499999994182</v>
      </c>
      <c r="G35" s="3">
        <v>247.45169999999919</v>
      </c>
      <c r="H35" s="3">
        <v>19.364690691404459</v>
      </c>
      <c r="I35" s="3" t="str">
        <f>IF(ROWS($I$23:I35)&lt;=n_T,"Training",IF(AND(Data_Effect_m_L[[#This Row],[PCM]]&lt;&gt;"RT8 (15mm)",Data_Effect_m_L[[#This Row],[PCM]]&lt;&gt;"RT18"),"Validation",IF(Data_Effect_m_L[[#This Row],[PCM]]="RT8 (15mm)",$B$7,$B$8)))</f>
        <v>Training</v>
      </c>
      <c r="J35" s="3">
        <f ca="1">IF(OR(Data_Effect_m_L[[#This Row],[T / V]]="Training",Data_Effect_m_L[[#This Row],[T / V]]="Validation"),RAND(),IF(Data_Effect_m_L[[#This Row],[PCM]]="RT8 (15mm)",1.1,1.2))</f>
        <v>0.11982482384105797</v>
      </c>
      <c r="K35" s="52"/>
      <c r="L35" s="52"/>
      <c r="M35" s="8"/>
      <c r="N35" s="3"/>
      <c r="O35" s="3">
        <f>Data_Effect_m_L[[#This Row],[A_q]]</f>
        <v>247.45169999999919</v>
      </c>
      <c r="P35" s="3">
        <f ca="1">Data_Effect_m_L[[#This Row],[A_T]]*$C$12</f>
        <v>256.57037196814707</v>
      </c>
      <c r="Q35" s="3" t="str">
        <f>Data_Effect_m_L[[#This Row],[T / V]]</f>
        <v>Training</v>
      </c>
      <c r="R35" s="3">
        <f ca="1">ABS((Estimates_Effect_m_L[[#This Row],[A_q predicted (b=0)]]-Estimates_Effect_m_L[[#This Row],[A_q measured]])/Estimates_Effect_m_L[[#This Row],[A_q measured]])*100</f>
        <v>3.6850310457143389</v>
      </c>
      <c r="V35"/>
      <c r="W35"/>
      <c r="X35"/>
      <c r="Y35"/>
      <c r="Z35"/>
      <c r="AA35"/>
    </row>
    <row r="36" spans="1:27" s="2" customFormat="1" x14ac:dyDescent="0.3">
      <c r="A36" s="3" t="s">
        <v>11</v>
      </c>
      <c r="B36" s="3">
        <v>170</v>
      </c>
      <c r="C36" s="3" t="s">
        <v>10</v>
      </c>
      <c r="D36" s="3">
        <v>1</v>
      </c>
      <c r="E36" s="3">
        <v>3</v>
      </c>
      <c r="F36" s="3">
        <v>11.550733538461678</v>
      </c>
      <c r="G36" s="3">
        <v>217.63550879854768</v>
      </c>
      <c r="H36" s="3">
        <v>18.84170456134791</v>
      </c>
      <c r="I36" s="3" t="str">
        <f>IF(ROWS($I$23:I36)&lt;=n_T,"Training",IF(AND(Data_Effect_m_L[[#This Row],[PCM]]&lt;&gt;"RT8 (15mm)",Data_Effect_m_L[[#This Row],[PCM]]&lt;&gt;"RT18"),"Validation",IF(Data_Effect_m_L[[#This Row],[PCM]]="RT8 (15mm)",$B$7,$B$8)))</f>
        <v>Training</v>
      </c>
      <c r="J36" s="3">
        <f ca="1">IF(OR(Data_Effect_m_L[[#This Row],[T / V]]="Training",Data_Effect_m_L[[#This Row],[T / V]]="Validation"),RAND(),IF(Data_Effect_m_L[[#This Row],[PCM]]="RT8 (15mm)",1.1,1.2))</f>
        <v>0.15071051525066759</v>
      </c>
      <c r="K36" s="52"/>
      <c r="L36" s="52"/>
      <c r="M36" s="8"/>
      <c r="N36" s="3"/>
      <c r="O36" s="3">
        <f>Data_Effect_m_L[[#This Row],[A_q]]</f>
        <v>217.63550879854768</v>
      </c>
      <c r="P36" s="3">
        <f ca="1">Data_Effect_m_L[[#This Row],[A_T]]*$C$12</f>
        <v>231.91892635829038</v>
      </c>
      <c r="Q36" s="3" t="str">
        <f>Data_Effect_m_L[[#This Row],[T / V]]</f>
        <v>Training</v>
      </c>
      <c r="R36" s="3">
        <f ca="1">ABS((Estimates_Effect_m_L[[#This Row],[A_q predicted (b=0)]]-Estimates_Effect_m_L[[#This Row],[A_q measured]])/Estimates_Effect_m_L[[#This Row],[A_q measured]])*100</f>
        <v>6.5629995944108632</v>
      </c>
      <c r="V36"/>
      <c r="W36"/>
      <c r="X36"/>
      <c r="Y36"/>
      <c r="Z36"/>
      <c r="AA36"/>
    </row>
    <row r="37" spans="1:27" s="2" customFormat="1" x14ac:dyDescent="0.3">
      <c r="A37" s="3" t="s">
        <v>12</v>
      </c>
      <c r="B37" s="3">
        <v>170</v>
      </c>
      <c r="C37" s="3" t="s">
        <v>10</v>
      </c>
      <c r="D37" s="3">
        <v>1</v>
      </c>
      <c r="E37" s="3">
        <v>2</v>
      </c>
      <c r="F37" s="3">
        <v>11.275199999993378</v>
      </c>
      <c r="G37" s="3">
        <v>242.68199999999433</v>
      </c>
      <c r="H37" s="3">
        <v>21.523520647096007</v>
      </c>
      <c r="I37" s="3" t="str">
        <f>IF(ROWS($I$23:I37)&lt;=n_T,"Training",IF(AND(Data_Effect_m_L[[#This Row],[PCM]]&lt;&gt;"RT8 (15mm)",Data_Effect_m_L[[#This Row],[PCM]]&lt;&gt;"RT18"),"Validation",IF(Data_Effect_m_L[[#This Row],[PCM]]="RT8 (15mm)",$B$7,$B$8)))</f>
        <v>Training</v>
      </c>
      <c r="J37" s="3">
        <f ca="1">IF(OR(Data_Effect_m_L[[#This Row],[T / V]]="Training",Data_Effect_m_L[[#This Row],[T / V]]="Validation"),RAND(),IF(Data_Effect_m_L[[#This Row],[PCM]]="RT8 (15mm)",1.1,1.2))</f>
        <v>0.68160103724193055</v>
      </c>
      <c r="K37" s="52"/>
      <c r="L37" s="52"/>
      <c r="M37" s="8"/>
      <c r="N37" s="3"/>
      <c r="O37" s="3">
        <f>Data_Effect_m_L[[#This Row],[A_q]]</f>
        <v>242.68199999999433</v>
      </c>
      <c r="P37" s="3">
        <f ca="1">Data_Effect_m_L[[#This Row],[A_T]]*$C$12</f>
        <v>226.38668529286457</v>
      </c>
      <c r="Q37" s="3" t="str">
        <f>Data_Effect_m_L[[#This Row],[T / V]]</f>
        <v>Training</v>
      </c>
      <c r="R37" s="3">
        <f ca="1">ABS((Estimates_Effect_m_L[[#This Row],[A_q predicted (b=0)]]-Estimates_Effect_m_L[[#This Row],[A_q measured]])/Estimates_Effect_m_L[[#This Row],[A_q measured]])*100</f>
        <v>6.714677935376395</v>
      </c>
      <c r="V37"/>
      <c r="W37"/>
      <c r="X37"/>
      <c r="Y37"/>
      <c r="Z37"/>
      <c r="AA37"/>
    </row>
    <row r="38" spans="1:27" s="2" customFormat="1" x14ac:dyDescent="0.3">
      <c r="A38" s="3" t="s">
        <v>8</v>
      </c>
      <c r="B38" s="3">
        <v>170</v>
      </c>
      <c r="C38" s="3" t="s">
        <v>9</v>
      </c>
      <c r="D38" s="3">
        <v>1</v>
      </c>
      <c r="E38" s="3">
        <v>2</v>
      </c>
      <c r="F38" s="3">
        <v>9.2355319538814236</v>
      </c>
      <c r="G38" s="3">
        <v>177.19746032724149</v>
      </c>
      <c r="H38" s="3">
        <v>19.186492040966908</v>
      </c>
      <c r="I38" s="3" t="str">
        <f>IF(ROWS($I$23:I38)&lt;=n_T,"Training",IF(AND(Data_Effect_m_L[[#This Row],[PCM]]&lt;&gt;"RT8 (15mm)",Data_Effect_m_L[[#This Row],[PCM]]&lt;&gt;"RT18"),"Validation",IF(Data_Effect_m_L[[#This Row],[PCM]]="RT8 (15mm)",$B$7,$B$8)))</f>
        <v>Training</v>
      </c>
      <c r="J38" s="3">
        <f ca="1">IF(OR(Data_Effect_m_L[[#This Row],[T / V]]="Training",Data_Effect_m_L[[#This Row],[T / V]]="Validation"),RAND(),IF(Data_Effect_m_L[[#This Row],[PCM]]="RT8 (15mm)",1.1,1.2))</f>
        <v>0.66530586599233743</v>
      </c>
      <c r="K38" s="52"/>
      <c r="L38" s="52"/>
      <c r="M38" s="8"/>
      <c r="N38" s="3"/>
      <c r="O38" s="3">
        <f>Data_Effect_m_L[[#This Row],[A_q]]</f>
        <v>177.19746032724149</v>
      </c>
      <c r="P38" s="3">
        <f ca="1">Data_Effect_m_L[[#This Row],[A_T]]*$C$12</f>
        <v>185.43364782502985</v>
      </c>
      <c r="Q38" s="3" t="str">
        <f>Data_Effect_m_L[[#This Row],[T / V]]</f>
        <v>Training</v>
      </c>
      <c r="R38" s="3">
        <f ca="1">ABS((Estimates_Effect_m_L[[#This Row],[A_q predicted (b=0)]]-Estimates_Effect_m_L[[#This Row],[A_q measured]])/Estimates_Effect_m_L[[#This Row],[A_q measured]])*100</f>
        <v>4.6480279585148052</v>
      </c>
      <c r="V38"/>
      <c r="W38"/>
      <c r="X38"/>
      <c r="Y38"/>
      <c r="Z38"/>
      <c r="AA38"/>
    </row>
    <row r="39" spans="1:27" s="2" customFormat="1" x14ac:dyDescent="0.3">
      <c r="A39" s="3" t="s">
        <v>8</v>
      </c>
      <c r="B39" s="3">
        <v>170</v>
      </c>
      <c r="C39" s="3" t="s">
        <v>9</v>
      </c>
      <c r="D39" s="3">
        <v>0.5</v>
      </c>
      <c r="E39" s="3">
        <v>3</v>
      </c>
      <c r="F39" s="3">
        <v>7.7242423058830347</v>
      </c>
      <c r="G39" s="3">
        <v>178.55986063999981</v>
      </c>
      <c r="H39" s="3">
        <v>23.116812441785104</v>
      </c>
      <c r="I39" s="3" t="str">
        <f>IF(ROWS($I$23:I39)&lt;=n_T,"Training",IF(AND(Data_Effect_m_L[[#This Row],[PCM]]&lt;&gt;"RT8 (15mm)",Data_Effect_m_L[[#This Row],[PCM]]&lt;&gt;"RT18"),"Validation",IF(Data_Effect_m_L[[#This Row],[PCM]]="RT8 (15mm)",$B$7,$B$8)))</f>
        <v>Training</v>
      </c>
      <c r="J39" s="3">
        <f ca="1">IF(OR(Data_Effect_m_L[[#This Row],[T / V]]="Training",Data_Effect_m_L[[#This Row],[T / V]]="Validation"),RAND(),IF(Data_Effect_m_L[[#This Row],[PCM]]="RT8 (15mm)",1.1,1.2))</f>
        <v>0.44383086277997219</v>
      </c>
      <c r="K39" s="52"/>
      <c r="L39" s="52"/>
      <c r="M39" s="8"/>
      <c r="N39" s="3"/>
      <c r="O39" s="3">
        <f>Data_Effect_m_L[[#This Row],[A_q]]</f>
        <v>178.55986063999981</v>
      </c>
      <c r="P39" s="3">
        <f ca="1">Data_Effect_m_L[[#This Row],[A_T]]*$C$12</f>
        <v>155.08954271576559</v>
      </c>
      <c r="Q39" s="3" t="str">
        <f>Data_Effect_m_L[[#This Row],[T / V]]</f>
        <v>Training</v>
      </c>
      <c r="R39" s="3">
        <f ca="1">ABS((Estimates_Effect_m_L[[#This Row],[A_q predicted (b=0)]]-Estimates_Effect_m_L[[#This Row],[A_q measured]])/Estimates_Effect_m_L[[#This Row],[A_q measured]])*100</f>
        <v>13.144229526227887</v>
      </c>
      <c r="V39"/>
      <c r="W39"/>
      <c r="X39"/>
      <c r="Y39"/>
      <c r="Z39"/>
      <c r="AA39"/>
    </row>
    <row r="40" spans="1:27" s="2" customFormat="1" x14ac:dyDescent="0.3">
      <c r="A40" s="3" t="s">
        <v>11</v>
      </c>
      <c r="B40" s="3">
        <v>170</v>
      </c>
      <c r="C40" s="3" t="s">
        <v>9</v>
      </c>
      <c r="D40" s="3">
        <v>0.5</v>
      </c>
      <c r="E40" s="3">
        <v>3</v>
      </c>
      <c r="F40" s="3">
        <v>14.158822452174912</v>
      </c>
      <c r="G40" s="3">
        <v>270.25498746086953</v>
      </c>
      <c r="H40" s="3">
        <v>19.087391509691273</v>
      </c>
      <c r="I40" s="3" t="str">
        <f>IF(ROWS($I$23:I40)&lt;=n_T,"Training",IF(AND(Data_Effect_m_L[[#This Row],[PCM]]&lt;&gt;"RT8 (15mm)",Data_Effect_m_L[[#This Row],[PCM]]&lt;&gt;"RT18"),"Validation",IF(Data_Effect_m_L[[#This Row],[PCM]]="RT8 (15mm)",$B$7,$B$8)))</f>
        <v>Training</v>
      </c>
      <c r="J40" s="3">
        <f ca="1">IF(OR(Data_Effect_m_L[[#This Row],[T / V]]="Training",Data_Effect_m_L[[#This Row],[T / V]]="Validation"),RAND(),IF(Data_Effect_m_L[[#This Row],[PCM]]="RT8 (15mm)",1.1,1.2))</f>
        <v>1.641521685713887E-2</v>
      </c>
      <c r="K40" s="52"/>
      <c r="L40" s="52"/>
      <c r="M40" s="8"/>
      <c r="N40" s="3"/>
      <c r="O40" s="3">
        <f>Data_Effect_m_L[[#This Row],[A_q]]</f>
        <v>270.25498746086953</v>
      </c>
      <c r="P40" s="3">
        <f ca="1">Data_Effect_m_L[[#This Row],[A_T]]*$C$12</f>
        <v>284.28488032140888</v>
      </c>
      <c r="Q40" s="3" t="str">
        <f>Data_Effect_m_L[[#This Row],[T / V]]</f>
        <v>Training</v>
      </c>
      <c r="R40" s="3">
        <f ca="1">ABS((Estimates_Effect_m_L[[#This Row],[A_q predicted (b=0)]]-Estimates_Effect_m_L[[#This Row],[A_q measured]])/Estimates_Effect_m_L[[#This Row],[A_q measured]])*100</f>
        <v>5.1913539107472531</v>
      </c>
      <c r="V40"/>
      <c r="W40"/>
      <c r="X40"/>
      <c r="Y40"/>
      <c r="Z40"/>
      <c r="AA40"/>
    </row>
    <row r="41" spans="1:27" s="2" customFormat="1" x14ac:dyDescent="0.3">
      <c r="A41" s="3" t="s">
        <v>8</v>
      </c>
      <c r="B41" s="3">
        <v>170</v>
      </c>
      <c r="C41" s="3" t="s">
        <v>10</v>
      </c>
      <c r="D41" s="3">
        <v>0.5</v>
      </c>
      <c r="E41" s="3">
        <v>2</v>
      </c>
      <c r="F41" s="3">
        <v>6.9327748784655023</v>
      </c>
      <c r="G41" s="3">
        <v>136.08228581679037</v>
      </c>
      <c r="H41" s="3">
        <v>19.62883379344791</v>
      </c>
      <c r="I41" s="3" t="str">
        <f>IF(ROWS($I$23:I41)&lt;=n_T,"Training",IF(AND(Data_Effect_m_L[[#This Row],[PCM]]&lt;&gt;"RT8 (15mm)",Data_Effect_m_L[[#This Row],[PCM]]&lt;&gt;"RT18"),"Validation",IF(Data_Effect_m_L[[#This Row],[PCM]]="RT8 (15mm)",$B$7,$B$8)))</f>
        <v>Training</v>
      </c>
      <c r="J41" s="3">
        <f ca="1">IF(OR(Data_Effect_m_L[[#This Row],[T / V]]="Training",Data_Effect_m_L[[#This Row],[T / V]]="Validation"),RAND(),IF(Data_Effect_m_L[[#This Row],[PCM]]="RT8 (15mm)",1.1,1.2))</f>
        <v>0.23643258014509361</v>
      </c>
      <c r="K41" s="52"/>
      <c r="L41" s="52"/>
      <c r="M41" s="8"/>
      <c r="N41" s="3"/>
      <c r="O41" s="3">
        <f>Data_Effect_m_L[[#This Row],[A_q]]</f>
        <v>136.08228581679037</v>
      </c>
      <c r="P41" s="3">
        <f ca="1">Data_Effect_m_L[[#This Row],[A_T]]*$C$12</f>
        <v>139.19823370036619</v>
      </c>
      <c r="Q41" s="3" t="str">
        <f>Data_Effect_m_L[[#This Row],[T / V]]</f>
        <v>Training</v>
      </c>
      <c r="R41" s="3">
        <f ca="1">ABS((Estimates_Effect_m_L[[#This Row],[A_q predicted (b=0)]]-Estimates_Effect_m_L[[#This Row],[A_q measured]])/Estimates_Effect_m_L[[#This Row],[A_q measured]])*100</f>
        <v>2.2897527513396279</v>
      </c>
      <c r="V41"/>
      <c r="W41"/>
      <c r="X41"/>
      <c r="Y41"/>
      <c r="Z41"/>
      <c r="AA41"/>
    </row>
    <row r="42" spans="1:27" s="2" customFormat="1" x14ac:dyDescent="0.3">
      <c r="A42" s="3" t="s">
        <v>12</v>
      </c>
      <c r="B42" s="3">
        <v>170</v>
      </c>
      <c r="C42" s="3" t="s">
        <v>9</v>
      </c>
      <c r="D42" s="3">
        <v>1</v>
      </c>
      <c r="E42" s="3">
        <v>1</v>
      </c>
      <c r="F42" s="3">
        <v>19.086000000000098</v>
      </c>
      <c r="G42" s="3">
        <v>387.39479999999998</v>
      </c>
      <c r="H42" s="3">
        <v>20.297327884313002</v>
      </c>
      <c r="I42" s="3" t="str">
        <f>IF(ROWS($I$23:I42)&lt;=n_T,"Training",IF(AND(Data_Effect_m_L[[#This Row],[PCM]]&lt;&gt;"RT8 (15mm)",Data_Effect_m_L[[#This Row],[PCM]]&lt;&gt;"RT18"),"Validation",IF(Data_Effect_m_L[[#This Row],[PCM]]="RT8 (15mm)",$B$7,$B$8)))</f>
        <v>Training</v>
      </c>
      <c r="J42" s="3">
        <f ca="1">IF(OR(Data_Effect_m_L[[#This Row],[T / V]]="Training",Data_Effect_m_L[[#This Row],[T / V]]="Validation"),RAND(),IF(Data_Effect_m_L[[#This Row],[PCM]]="RT8 (15mm)",1.1,1.2))</f>
        <v>5.6734803659624355E-2</v>
      </c>
      <c r="K42" s="52"/>
      <c r="L42" s="52"/>
      <c r="M42" s="8"/>
      <c r="N42" s="3"/>
      <c r="O42" s="3">
        <f>Data_Effect_m_L[[#This Row],[A_q]]</f>
        <v>387.39479999999998</v>
      </c>
      <c r="P42" s="3">
        <f ca="1">Data_Effect_m_L[[#This Row],[A_T]]*$C$12</f>
        <v>383.21415810825289</v>
      </c>
      <c r="Q42" s="3" t="str">
        <f>Data_Effect_m_L[[#This Row],[T / V]]</f>
        <v>Training</v>
      </c>
      <c r="R42" s="3">
        <f ca="1">ABS((Estimates_Effect_m_L[[#This Row],[A_q predicted (b=0)]]-Estimates_Effect_m_L[[#This Row],[A_q measured]])/Estimates_Effect_m_L[[#This Row],[A_q measured]])*100</f>
        <v>1.0791683036909856</v>
      </c>
      <c r="V42"/>
      <c r="W42"/>
      <c r="X42"/>
      <c r="Y42"/>
      <c r="Z42"/>
      <c r="AA42"/>
    </row>
    <row r="43" spans="1:27" s="2" customFormat="1" x14ac:dyDescent="0.3">
      <c r="A43" s="3" t="s">
        <v>8</v>
      </c>
      <c r="B43" s="3">
        <v>170</v>
      </c>
      <c r="C43" s="3" t="s">
        <v>9</v>
      </c>
      <c r="D43" s="3">
        <v>0.5</v>
      </c>
      <c r="E43" s="3">
        <v>2</v>
      </c>
      <c r="F43" s="3">
        <v>8.9898000000008071</v>
      </c>
      <c r="G43" s="3">
        <v>184.20239999999984</v>
      </c>
      <c r="H43" s="3">
        <v>20.490155509575661</v>
      </c>
      <c r="I43" s="3" t="str">
        <f>IF(ROWS($I$23:I43)&lt;=n_T,"Training",IF(AND(Data_Effect_m_L[[#This Row],[PCM]]&lt;&gt;"RT8 (15mm)",Data_Effect_m_L[[#This Row],[PCM]]&lt;&gt;"RT18"),"Validation",IF(Data_Effect_m_L[[#This Row],[PCM]]="RT8 (15mm)",$B$7,$B$8)))</f>
        <v>Training</v>
      </c>
      <c r="J43" s="3">
        <f ca="1">IF(OR(Data_Effect_m_L[[#This Row],[T / V]]="Training",Data_Effect_m_L[[#This Row],[T / V]]="Validation"),RAND(),IF(Data_Effect_m_L[[#This Row],[PCM]]="RT8 (15mm)",1.1,1.2))</f>
        <v>0.59858259585124196</v>
      </c>
      <c r="K43" s="52"/>
      <c r="L43" s="52"/>
      <c r="M43" s="8"/>
      <c r="N43" s="3"/>
      <c r="O43" s="3">
        <f>Data_Effect_m_L[[#This Row],[A_q]]</f>
        <v>184.20239999999984</v>
      </c>
      <c r="P43" s="3">
        <f ca="1">Data_Effect_m_L[[#This Row],[A_T]]*$C$12</f>
        <v>180.49977148495566</v>
      </c>
      <c r="Q43" s="3" t="str">
        <f>Data_Effect_m_L[[#This Row],[T / V]]</f>
        <v>Training</v>
      </c>
      <c r="R43" s="3">
        <f ca="1">ABS((Estimates_Effect_m_L[[#This Row],[A_q predicted (b=0)]]-Estimates_Effect_m_L[[#This Row],[A_q measured]])/Estimates_Effect_m_L[[#This Row],[A_q measured]])*100</f>
        <v>2.0100870102909547</v>
      </c>
      <c r="V43"/>
      <c r="W43"/>
      <c r="X43"/>
      <c r="Y43"/>
      <c r="Z43"/>
      <c r="AA43"/>
    </row>
    <row r="44" spans="1:27" s="2" customFormat="1" x14ac:dyDescent="0.3">
      <c r="A44" s="3" t="s">
        <v>12</v>
      </c>
      <c r="B44" s="3">
        <v>170</v>
      </c>
      <c r="C44" s="3" t="s">
        <v>9</v>
      </c>
      <c r="D44" s="3">
        <v>1</v>
      </c>
      <c r="E44" s="3">
        <v>2</v>
      </c>
      <c r="F44" s="3">
        <v>17.790648849835058</v>
      </c>
      <c r="G44" s="3">
        <v>369.31674307917132</v>
      </c>
      <c r="H44" s="3">
        <v>20.759037300800603</v>
      </c>
      <c r="I44" s="3" t="str">
        <f>IF(ROWS($I$23:I44)&lt;=n_T,"Training",IF(AND(Data_Effect_m_L[[#This Row],[PCM]]&lt;&gt;"RT8 (15mm)",Data_Effect_m_L[[#This Row],[PCM]]&lt;&gt;"RT18"),"Validation",IF(Data_Effect_m_L[[#This Row],[PCM]]="RT8 (15mm)",$B$7,$B$8)))</f>
        <v>Training</v>
      </c>
      <c r="J44" s="3">
        <f ca="1">IF(OR(Data_Effect_m_L[[#This Row],[T / V]]="Training",Data_Effect_m_L[[#This Row],[T / V]]="Validation"),RAND(),IF(Data_Effect_m_L[[#This Row],[PCM]]="RT8 (15mm)",1.1,1.2))</f>
        <v>0.60440793065660847</v>
      </c>
      <c r="K44" s="52"/>
      <c r="L44" s="52"/>
      <c r="M44" s="8"/>
      <c r="N44" s="3"/>
      <c r="O44" s="3">
        <f>Data_Effect_m_L[[#This Row],[A_q]]</f>
        <v>369.31674307917132</v>
      </c>
      <c r="P44" s="3">
        <f ca="1">Data_Effect_m_L[[#This Row],[A_T]]*$C$12</f>
        <v>357.20572782086685</v>
      </c>
      <c r="Q44" s="3" t="str">
        <f>Data_Effect_m_L[[#This Row],[T / V]]</f>
        <v>Training</v>
      </c>
      <c r="R44" s="3">
        <f ca="1">ABS((Estimates_Effect_m_L[[#This Row],[A_q predicted (b=0)]]-Estimates_Effect_m_L[[#This Row],[A_q measured]])/Estimates_Effect_m_L[[#This Row],[A_q measured]])*100</f>
        <v>3.2793030603836435</v>
      </c>
      <c r="V44"/>
      <c r="W44"/>
      <c r="X44"/>
      <c r="Y44"/>
      <c r="Z44"/>
      <c r="AA44"/>
    </row>
    <row r="45" spans="1:27" s="2" customFormat="1" x14ac:dyDescent="0.3">
      <c r="A45" s="3" t="s">
        <v>12</v>
      </c>
      <c r="B45" s="3">
        <v>170</v>
      </c>
      <c r="C45" s="3" t="s">
        <v>10</v>
      </c>
      <c r="D45" s="3">
        <v>0.5</v>
      </c>
      <c r="E45" s="3">
        <v>1</v>
      </c>
      <c r="F45" s="3">
        <v>10.128440696018268</v>
      </c>
      <c r="G45" s="3">
        <v>212.52860331422897</v>
      </c>
      <c r="H45" s="3">
        <v>20.983348739730392</v>
      </c>
      <c r="I45" s="3" t="str">
        <f>IF(ROWS($I$23:I45)&lt;=n_T,"Training",IF(AND(Data_Effect_m_L[[#This Row],[PCM]]&lt;&gt;"RT8 (15mm)",Data_Effect_m_L[[#This Row],[PCM]]&lt;&gt;"RT18"),"Validation",IF(Data_Effect_m_L[[#This Row],[PCM]]="RT8 (15mm)",$B$7,$B$8)))</f>
        <v>Training</v>
      </c>
      <c r="J45" s="3">
        <f ca="1">IF(OR(Data_Effect_m_L[[#This Row],[T / V]]="Training",Data_Effect_m_L[[#This Row],[T / V]]="Validation"),RAND(),IF(Data_Effect_m_L[[#This Row],[PCM]]="RT8 (15mm)",1.1,1.2))</f>
        <v>0.17706411083851126</v>
      </c>
      <c r="K45" s="52"/>
      <c r="L45" s="52"/>
      <c r="M45" s="8"/>
      <c r="N45" s="3"/>
      <c r="O45" s="3">
        <f>Data_Effect_m_L[[#This Row],[A_q]]</f>
        <v>212.52860331422897</v>
      </c>
      <c r="P45" s="3">
        <f ca="1">Data_Effect_m_L[[#This Row],[A_T]]*$C$12</f>
        <v>203.36172452446755</v>
      </c>
      <c r="Q45" s="3" t="str">
        <f>Data_Effect_m_L[[#This Row],[T / V]]</f>
        <v>Training</v>
      </c>
      <c r="R45" s="3">
        <f ca="1">ABS((Estimates_Effect_m_L[[#This Row],[A_q predicted (b=0)]]-Estimates_Effect_m_L[[#This Row],[A_q measured]])/Estimates_Effect_m_L[[#This Row],[A_q measured]])*100</f>
        <v>4.3132447335608575</v>
      </c>
      <c r="V45"/>
      <c r="W45"/>
      <c r="X45"/>
      <c r="Y45"/>
      <c r="Z45"/>
      <c r="AA45"/>
    </row>
    <row r="46" spans="1:27" s="2" customFormat="1" x14ac:dyDescent="0.3">
      <c r="A46" s="3" t="s">
        <v>12</v>
      </c>
      <c r="B46" s="3">
        <v>170</v>
      </c>
      <c r="C46" s="3" t="s">
        <v>9</v>
      </c>
      <c r="D46" s="3">
        <v>0.5</v>
      </c>
      <c r="E46" s="3">
        <v>1</v>
      </c>
      <c r="F46" s="3">
        <v>14.747651848983457</v>
      </c>
      <c r="G46" s="3">
        <v>292.58543252599304</v>
      </c>
      <c r="H46" s="3">
        <v>19.839458886206398</v>
      </c>
      <c r="I46" s="3" t="str">
        <f>IF(ROWS($I$23:I46)&lt;=n_T,"Training",IF(AND(Data_Effect_m_L[[#This Row],[PCM]]&lt;&gt;"RT8 (15mm)",Data_Effect_m_L[[#This Row],[PCM]]&lt;&gt;"RT18"),"Validation",IF(Data_Effect_m_L[[#This Row],[PCM]]="RT8 (15mm)",$B$7,$B$8)))</f>
        <v>Training</v>
      </c>
      <c r="J46" s="3">
        <f ca="1">IF(OR(Data_Effect_m_L[[#This Row],[T / V]]="Training",Data_Effect_m_L[[#This Row],[T / V]]="Validation"),RAND(),IF(Data_Effect_m_L[[#This Row],[PCM]]="RT8 (15mm)",1.1,1.2))</f>
        <v>0.60639009216218198</v>
      </c>
      <c r="K46" s="52"/>
      <c r="L46" s="52"/>
      <c r="M46" s="8"/>
      <c r="N46" s="3"/>
      <c r="O46" s="3">
        <f>Data_Effect_m_L[[#This Row],[A_q]]</f>
        <v>292.58543252599304</v>
      </c>
      <c r="P46" s="3">
        <f ca="1">Data_Effect_m_L[[#This Row],[A_T]]*$C$12</f>
        <v>296.1075650938796</v>
      </c>
      <c r="Q46" s="3" t="str">
        <f>Data_Effect_m_L[[#This Row],[T / V]]</f>
        <v>Training</v>
      </c>
      <c r="R46" s="3">
        <f ca="1">ABS((Estimates_Effect_m_L[[#This Row],[A_q predicted (b=0)]]-Estimates_Effect_m_L[[#This Row],[A_q measured]])/Estimates_Effect_m_L[[#This Row],[A_q measured]])*100</f>
        <v>1.2037962852349646</v>
      </c>
      <c r="V46"/>
      <c r="W46"/>
      <c r="X46"/>
      <c r="Y46"/>
      <c r="Z46"/>
      <c r="AA46"/>
    </row>
    <row r="47" spans="1:27" s="2" customFormat="1" x14ac:dyDescent="0.3">
      <c r="A47" s="3" t="s">
        <v>11</v>
      </c>
      <c r="B47" s="3">
        <v>170</v>
      </c>
      <c r="C47" s="3" t="s">
        <v>10</v>
      </c>
      <c r="D47" s="3">
        <v>0.5</v>
      </c>
      <c r="E47" s="3">
        <v>3</v>
      </c>
      <c r="F47" s="3">
        <v>13.394999999995163</v>
      </c>
      <c r="G47" s="3">
        <v>240.30809999999769</v>
      </c>
      <c r="H47" s="3">
        <v>17.940134378505746</v>
      </c>
      <c r="I47" s="3" t="str">
        <f>IF(ROWS($I$23:I47)&lt;=n_T,"Training",IF(AND(Data_Effect_m_L[[#This Row],[PCM]]&lt;&gt;"RT8 (15mm)",Data_Effect_m_L[[#This Row],[PCM]]&lt;&gt;"RT18"),"Validation",IF(Data_Effect_m_L[[#This Row],[PCM]]="RT8 (15mm)",$B$7,$B$8)))</f>
        <v>Training</v>
      </c>
      <c r="J47" s="3">
        <f ca="1">IF(OR(Data_Effect_m_L[[#This Row],[T / V]]="Training",Data_Effect_m_L[[#This Row],[T / V]]="Validation"),RAND(),IF(Data_Effect_m_L[[#This Row],[PCM]]="RT8 (15mm)",1.1,1.2))</f>
        <v>0.38644570843764814</v>
      </c>
      <c r="K47" s="52"/>
      <c r="L47" s="52"/>
      <c r="M47" s="8"/>
      <c r="N47" s="3"/>
      <c r="O47" s="3">
        <f>Data_Effect_m_L[[#This Row],[A_q]]</f>
        <v>240.30809999999769</v>
      </c>
      <c r="P47" s="3">
        <f ca="1">Data_Effect_m_L[[#This Row],[A_T]]*$C$12</f>
        <v>268.94863501300262</v>
      </c>
      <c r="Q47" s="3" t="str">
        <f>Data_Effect_m_L[[#This Row],[T / V]]</f>
        <v>Training</v>
      </c>
      <c r="R47" s="3">
        <f ca="1">ABS((Estimates_Effect_m_L[[#This Row],[A_q predicted (b=0)]]-Estimates_Effect_m_L[[#This Row],[A_q measured]])/Estimates_Effect_m_L[[#This Row],[A_q measured]])*100</f>
        <v>11.918256194029746</v>
      </c>
      <c r="V47"/>
      <c r="W47"/>
      <c r="X47"/>
      <c r="Y47"/>
      <c r="Z47"/>
      <c r="AA47"/>
    </row>
    <row r="48" spans="1:27" s="2" customFormat="1" x14ac:dyDescent="0.3">
      <c r="A48" s="3" t="s">
        <v>8</v>
      </c>
      <c r="B48" s="3">
        <v>170</v>
      </c>
      <c r="C48" s="3" t="s">
        <v>9</v>
      </c>
      <c r="D48" s="3">
        <v>1</v>
      </c>
      <c r="E48" s="3">
        <v>1</v>
      </c>
      <c r="F48" s="3">
        <v>6.9743999999999957</v>
      </c>
      <c r="G48" s="3">
        <v>169.83240000000001</v>
      </c>
      <c r="H48" s="3">
        <v>24.350825877494856</v>
      </c>
      <c r="I48" s="3" t="str">
        <f>IF(ROWS($I$23:I48)&lt;=n_T,"Training",IF(AND(Data_Effect_m_L[[#This Row],[PCM]]&lt;&gt;"RT8 (15mm)",Data_Effect_m_L[[#This Row],[PCM]]&lt;&gt;"RT18"),"Validation",IF(Data_Effect_m_L[[#This Row],[PCM]]="RT8 (15mm)",$B$7,$B$8)))</f>
        <v>Validation</v>
      </c>
      <c r="J48" s="3">
        <f ca="1">IF(OR(Data_Effect_m_L[[#This Row],[T / V]]="Training",Data_Effect_m_L[[#This Row],[T / V]]="Validation"),RAND(),IF(Data_Effect_m_L[[#This Row],[PCM]]="RT8 (15mm)",1.1,1.2))</f>
        <v>0.62910301704953508</v>
      </c>
      <c r="K48" s="52"/>
      <c r="L48" s="52"/>
      <c r="M48" s="8"/>
      <c r="N48" s="3"/>
      <c r="O48" s="3">
        <f>Data_Effect_m_L[[#This Row],[A_q]]</f>
        <v>169.83240000000001</v>
      </c>
      <c r="P48" s="3">
        <f ca="1">Data_Effect_m_L[[#This Row],[A_T]]*$C$12</f>
        <v>140.03399477680938</v>
      </c>
      <c r="Q48" s="3" t="str">
        <f>Data_Effect_m_L[[#This Row],[T / V]]</f>
        <v>Validation</v>
      </c>
      <c r="R48" s="3">
        <f ca="1">ABS((Estimates_Effect_m_L[[#This Row],[A_q predicted (b=0)]]-Estimates_Effect_m_L[[#This Row],[A_q measured]])/Estimates_Effect_m_L[[#This Row],[A_q measured]])*100</f>
        <v>17.545771727415161</v>
      </c>
      <c r="V48"/>
      <c r="W48"/>
      <c r="X48"/>
      <c r="Y48"/>
      <c r="Z48"/>
      <c r="AA48"/>
    </row>
    <row r="49" spans="1:27" s="2" customFormat="1" x14ac:dyDescent="0.3">
      <c r="A49" s="3" t="s">
        <v>12</v>
      </c>
      <c r="B49" s="3">
        <v>170</v>
      </c>
      <c r="C49" s="3" t="s">
        <v>10</v>
      </c>
      <c r="D49" s="3">
        <v>0.5</v>
      </c>
      <c r="E49" s="3">
        <v>2</v>
      </c>
      <c r="F49" s="3">
        <v>11.275199999993378</v>
      </c>
      <c r="G49" s="3">
        <v>242.68199999999433</v>
      </c>
      <c r="H49" s="3">
        <v>21.523520647096007</v>
      </c>
      <c r="I49" s="3" t="str">
        <f>IF(ROWS($I$23:I49)&lt;=n_T,"Training",IF(AND(Data_Effect_m_L[[#This Row],[PCM]]&lt;&gt;"RT8 (15mm)",Data_Effect_m_L[[#This Row],[PCM]]&lt;&gt;"RT18"),"Validation",IF(Data_Effect_m_L[[#This Row],[PCM]]="RT8 (15mm)",$B$7,$B$8)))</f>
        <v>Validation</v>
      </c>
      <c r="J49" s="3">
        <f ca="1">IF(OR(Data_Effect_m_L[[#This Row],[T / V]]="Training",Data_Effect_m_L[[#This Row],[T / V]]="Validation"),RAND(),IF(Data_Effect_m_L[[#This Row],[PCM]]="RT8 (15mm)",1.1,1.2))</f>
        <v>0.7796282586321347</v>
      </c>
      <c r="K49" s="52"/>
      <c r="L49" s="52"/>
      <c r="M49" s="8"/>
      <c r="N49" s="3"/>
      <c r="O49" s="3">
        <f>Data_Effect_m_L[[#This Row],[A_q]]</f>
        <v>242.68199999999433</v>
      </c>
      <c r="P49" s="3">
        <f ca="1">Data_Effect_m_L[[#This Row],[A_T]]*$C$12</f>
        <v>226.38668529286457</v>
      </c>
      <c r="Q49" s="3" t="str">
        <f>Data_Effect_m_L[[#This Row],[T / V]]</f>
        <v>Validation</v>
      </c>
      <c r="R49" s="3">
        <f ca="1">ABS((Estimates_Effect_m_L[[#This Row],[A_q predicted (b=0)]]-Estimates_Effect_m_L[[#This Row],[A_q measured]])/Estimates_Effect_m_L[[#This Row],[A_q measured]])*100</f>
        <v>6.714677935376395</v>
      </c>
      <c r="V49"/>
      <c r="W49"/>
      <c r="X49"/>
      <c r="Y49"/>
      <c r="Z49"/>
      <c r="AA49"/>
    </row>
    <row r="50" spans="1:27" s="2" customFormat="1" x14ac:dyDescent="0.3">
      <c r="A50" s="3" t="s">
        <v>11</v>
      </c>
      <c r="B50" s="3">
        <v>170</v>
      </c>
      <c r="C50" s="3" t="s">
        <v>10</v>
      </c>
      <c r="D50" s="3">
        <v>1</v>
      </c>
      <c r="E50" s="3">
        <v>2</v>
      </c>
      <c r="F50" s="3">
        <v>11.370389065312704</v>
      </c>
      <c r="G50" s="3">
        <v>218.07088535308668</v>
      </c>
      <c r="H50" s="3">
        <v>19.178841119724638</v>
      </c>
      <c r="I50" s="3" t="str">
        <f>IF(ROWS($I$23:I50)&lt;=n_T,"Training",IF(AND(Data_Effect_m_L[[#This Row],[PCM]]&lt;&gt;"RT8 (15mm)",Data_Effect_m_L[[#This Row],[PCM]]&lt;&gt;"RT18"),"Validation",IF(Data_Effect_m_L[[#This Row],[PCM]]="RT8 (15mm)",$B$7,$B$8)))</f>
        <v>Validation</v>
      </c>
      <c r="J50" s="3">
        <f ca="1">IF(OR(Data_Effect_m_L[[#This Row],[T / V]]="Training",Data_Effect_m_L[[#This Row],[T / V]]="Validation"),RAND(),IF(Data_Effect_m_L[[#This Row],[PCM]]="RT8 (15mm)",1.1,1.2))</f>
        <v>0.66704450065686471</v>
      </c>
      <c r="K50" s="52"/>
      <c r="L50" s="52"/>
      <c r="M50" s="8"/>
      <c r="N50" s="3"/>
      <c r="O50" s="3">
        <f>Data_Effect_m_L[[#This Row],[A_q]]</f>
        <v>218.07088535308668</v>
      </c>
      <c r="P50" s="3">
        <f ca="1">Data_Effect_m_L[[#This Row],[A_T]]*$C$12</f>
        <v>228.29791852808708</v>
      </c>
      <c r="Q50" s="3" t="str">
        <f>Data_Effect_m_L[[#This Row],[T / V]]</f>
        <v>Validation</v>
      </c>
      <c r="R50" s="3">
        <f ca="1">ABS((Estimates_Effect_m_L[[#This Row],[A_q predicted (b=0)]]-Estimates_Effect_m_L[[#This Row],[A_q measured]])/Estimates_Effect_m_L[[#This Row],[A_q measured]])*100</f>
        <v>4.6897746842461023</v>
      </c>
      <c r="V50"/>
      <c r="W50"/>
      <c r="X50"/>
      <c r="Y50"/>
      <c r="Z50"/>
      <c r="AA50"/>
    </row>
    <row r="51" spans="1:27" s="2" customFormat="1" x14ac:dyDescent="0.3">
      <c r="A51" s="3" t="s">
        <v>12</v>
      </c>
      <c r="B51" s="3">
        <v>170</v>
      </c>
      <c r="C51" s="3" t="s">
        <v>10</v>
      </c>
      <c r="D51" s="3">
        <v>0.5</v>
      </c>
      <c r="E51" s="3">
        <v>3</v>
      </c>
      <c r="F51" s="3">
        <v>12.827573007786603</v>
      </c>
      <c r="G51" s="3">
        <v>256.02550949111617</v>
      </c>
      <c r="H51" s="3">
        <v>19.958998427504827</v>
      </c>
      <c r="I51" s="3" t="str">
        <f>IF(ROWS($I$23:I51)&lt;=n_T,"Training",IF(AND(Data_Effect_m_L[[#This Row],[PCM]]&lt;&gt;"RT8 (15mm)",Data_Effect_m_L[[#This Row],[PCM]]&lt;&gt;"RT18"),"Validation",IF(Data_Effect_m_L[[#This Row],[PCM]]="RT8 (15mm)",$B$7,$B$8)))</f>
        <v>Validation</v>
      </c>
      <c r="J51" s="3">
        <f ca="1">IF(OR(Data_Effect_m_L[[#This Row],[T / V]]="Training",Data_Effect_m_L[[#This Row],[T / V]]="Validation"),RAND(),IF(Data_Effect_m_L[[#This Row],[PCM]]="RT8 (15mm)",1.1,1.2))</f>
        <v>0.94742141090070975</v>
      </c>
      <c r="K51" s="52"/>
      <c r="L51" s="52"/>
      <c r="M51" s="8"/>
      <c r="N51" s="3"/>
      <c r="O51" s="3">
        <f>Data_Effect_m_L[[#This Row],[A_q]]</f>
        <v>256.02550949111617</v>
      </c>
      <c r="P51" s="3">
        <f ca="1">Data_Effect_m_L[[#This Row],[A_T]]*$C$12</f>
        <v>257.55567383166022</v>
      </c>
      <c r="Q51" s="3" t="str">
        <f>Data_Effect_m_L[[#This Row],[T / V]]</f>
        <v>Validation</v>
      </c>
      <c r="R51" s="3">
        <f ca="1">ABS((Estimates_Effect_m_L[[#This Row],[A_q predicted (b=0)]]-Estimates_Effect_m_L[[#This Row],[A_q measured]])/Estimates_Effect_m_L[[#This Row],[A_q measured]])*100</f>
        <v>0.59766089073914819</v>
      </c>
      <c r="V51"/>
      <c r="W51"/>
      <c r="X51"/>
      <c r="Y51"/>
      <c r="Z51"/>
      <c r="AA51"/>
    </row>
    <row r="52" spans="1:27" s="2" customFormat="1" x14ac:dyDescent="0.3">
      <c r="A52" s="3" t="s">
        <v>12</v>
      </c>
      <c r="B52" s="3">
        <v>170</v>
      </c>
      <c r="C52" s="3" t="s">
        <v>9</v>
      </c>
      <c r="D52" s="3">
        <v>0.5</v>
      </c>
      <c r="E52" s="3">
        <v>3</v>
      </c>
      <c r="F52" s="3">
        <v>15.972408843058197</v>
      </c>
      <c r="G52" s="3">
        <v>309.82490270263128</v>
      </c>
      <c r="H52" s="3">
        <v>19.397506396618752</v>
      </c>
      <c r="I52" s="3" t="str">
        <f>IF(ROWS($I$23:I52)&lt;=n_T,"Training",IF(AND(Data_Effect_m_L[[#This Row],[PCM]]&lt;&gt;"RT8 (15mm)",Data_Effect_m_L[[#This Row],[PCM]]&lt;&gt;"RT18"),"Validation",IF(Data_Effect_m_L[[#This Row],[PCM]]="RT8 (15mm)",$B$7,$B$8)))</f>
        <v>Validation</v>
      </c>
      <c r="J52" s="3">
        <f ca="1">IF(OR(Data_Effect_m_L[[#This Row],[T / V]]="Training",Data_Effect_m_L[[#This Row],[T / V]]="Validation"),RAND(),IF(Data_Effect_m_L[[#This Row],[PCM]]="RT8 (15mm)",1.1,1.2))</f>
        <v>0.77811243309326894</v>
      </c>
      <c r="K52" s="52"/>
      <c r="L52" s="52"/>
      <c r="M52" s="8"/>
      <c r="N52" s="3"/>
      <c r="O52" s="3">
        <f>Data_Effect_m_L[[#This Row],[A_q]]</f>
        <v>309.82490270263128</v>
      </c>
      <c r="P52" s="3">
        <f ca="1">Data_Effect_m_L[[#This Row],[A_T]]*$C$12</f>
        <v>320.69858575674994</v>
      </c>
      <c r="Q52" s="3" t="str">
        <f>Data_Effect_m_L[[#This Row],[T / V]]</f>
        <v>Validation</v>
      </c>
      <c r="R52" s="3">
        <f ca="1">ABS((Estimates_Effect_m_L[[#This Row],[A_q predicted (b=0)]]-Estimates_Effect_m_L[[#This Row],[A_q measured]])/Estimates_Effect_m_L[[#This Row],[A_q measured]])*100</f>
        <v>3.5096220346610343</v>
      </c>
      <c r="V52"/>
      <c r="W52"/>
      <c r="X52"/>
      <c r="Y52"/>
      <c r="Z52"/>
      <c r="AA52"/>
    </row>
    <row r="53" spans="1:27" s="2" customFormat="1" x14ac:dyDescent="0.3">
      <c r="A53" s="3" t="s">
        <v>8</v>
      </c>
      <c r="B53" s="3">
        <v>170</v>
      </c>
      <c r="C53" s="3" t="s">
        <v>10</v>
      </c>
      <c r="D53" s="3">
        <v>1</v>
      </c>
      <c r="E53" s="3">
        <v>1</v>
      </c>
      <c r="F53" s="3">
        <v>7.7868000000008877</v>
      </c>
      <c r="G53" s="3">
        <v>134.81040000000056</v>
      </c>
      <c r="H53" s="3">
        <v>17.312683002001489</v>
      </c>
      <c r="I53" s="3" t="str">
        <f>IF(ROWS($I$23:I53)&lt;=n_T,"Training",IF(AND(Data_Effect_m_L[[#This Row],[PCM]]&lt;&gt;"RT8 (15mm)",Data_Effect_m_L[[#This Row],[PCM]]&lt;&gt;"RT18"),"Validation",IF(Data_Effect_m_L[[#This Row],[PCM]]="RT8 (15mm)",$B$7,$B$8)))</f>
        <v>Validation</v>
      </c>
      <c r="J53" s="3">
        <f ca="1">IF(OR(Data_Effect_m_L[[#This Row],[T / V]]="Training",Data_Effect_m_L[[#This Row],[T / V]]="Validation"),RAND(),IF(Data_Effect_m_L[[#This Row],[PCM]]="RT8 (15mm)",1.1,1.2))</f>
        <v>0.72737230684444976</v>
      </c>
      <c r="K53" s="52"/>
      <c r="L53" s="52"/>
      <c r="M53" s="8"/>
      <c r="N53" s="3"/>
      <c r="O53" s="3">
        <f>Data_Effect_m_L[[#This Row],[A_q]]</f>
        <v>134.81040000000056</v>
      </c>
      <c r="P53" s="3">
        <f ca="1">Data_Effect_m_L[[#This Row],[A_T]]*$C$12</f>
        <v>156.34559396194427</v>
      </c>
      <c r="Q53" s="3" t="str">
        <f>Data_Effect_m_L[[#This Row],[T / V]]</f>
        <v>Validation</v>
      </c>
      <c r="R53" s="3">
        <f ca="1">ABS((Estimates_Effect_m_L[[#This Row],[A_q predicted (b=0)]]-Estimates_Effect_m_L[[#This Row],[A_q measured]])/Estimates_Effect_m_L[[#This Row],[A_q measured]])*100</f>
        <v>15.97443072785455</v>
      </c>
      <c r="V53"/>
      <c r="W53"/>
      <c r="X53"/>
      <c r="Y53"/>
      <c r="Z53"/>
      <c r="AA53"/>
    </row>
    <row r="54" spans="1:27" s="2" customFormat="1" x14ac:dyDescent="0.3">
      <c r="A54" s="3" t="s">
        <v>12</v>
      </c>
      <c r="B54" s="3">
        <v>170</v>
      </c>
      <c r="C54" s="3" t="s">
        <v>9</v>
      </c>
      <c r="D54" s="3">
        <v>0.5</v>
      </c>
      <c r="E54" s="3">
        <v>2</v>
      </c>
      <c r="F54" s="3">
        <v>17.790648849835058</v>
      </c>
      <c r="G54" s="3">
        <v>369.31674307917132</v>
      </c>
      <c r="H54" s="3">
        <v>20.759037300800603</v>
      </c>
      <c r="I54" s="3" t="str">
        <f>IF(ROWS($I$23:I54)&lt;=n_T,"Training",IF(AND(Data_Effect_m_L[[#This Row],[PCM]]&lt;&gt;"RT8 (15mm)",Data_Effect_m_L[[#This Row],[PCM]]&lt;&gt;"RT18"),"Validation",IF(Data_Effect_m_L[[#This Row],[PCM]]="RT8 (15mm)",$B$7,$B$8)))</f>
        <v>Validation</v>
      </c>
      <c r="J54" s="3">
        <f ca="1">IF(OR(Data_Effect_m_L[[#This Row],[T / V]]="Training",Data_Effect_m_L[[#This Row],[T / V]]="Validation"),RAND(),IF(Data_Effect_m_L[[#This Row],[PCM]]="RT8 (15mm)",1.1,1.2))</f>
        <v>0.4724274751389298</v>
      </c>
      <c r="K54" s="52"/>
      <c r="L54" s="52"/>
      <c r="M54" s="8"/>
      <c r="N54" s="3"/>
      <c r="O54" s="3">
        <f>Data_Effect_m_L[[#This Row],[A_q]]</f>
        <v>369.31674307917132</v>
      </c>
      <c r="P54" s="3">
        <f ca="1">Data_Effect_m_L[[#This Row],[A_T]]*$C$12</f>
        <v>357.20572782086685</v>
      </c>
      <c r="Q54" s="3" t="str">
        <f>Data_Effect_m_L[[#This Row],[T / V]]</f>
        <v>Validation</v>
      </c>
      <c r="R54" s="3">
        <f ca="1">ABS((Estimates_Effect_m_L[[#This Row],[A_q predicted (b=0)]]-Estimates_Effect_m_L[[#This Row],[A_q measured]])/Estimates_Effect_m_L[[#This Row],[A_q measured]])*100</f>
        <v>3.2793030603836435</v>
      </c>
      <c r="V54"/>
      <c r="W54"/>
      <c r="X54"/>
      <c r="Y54"/>
      <c r="Z54"/>
      <c r="AA54"/>
    </row>
    <row r="55" spans="1:27" s="2" customFormat="1" x14ac:dyDescent="0.3">
      <c r="A55" s="3" t="s">
        <v>11</v>
      </c>
      <c r="B55" s="3">
        <v>170</v>
      </c>
      <c r="C55" s="3" t="s">
        <v>9</v>
      </c>
      <c r="D55" s="3">
        <v>0.5</v>
      </c>
      <c r="E55" s="3">
        <v>1</v>
      </c>
      <c r="F55" s="3">
        <v>11.393531322500698</v>
      </c>
      <c r="G55" s="3">
        <v>236.18810812499981</v>
      </c>
      <c r="H55" s="3">
        <v>20.730017888181866</v>
      </c>
      <c r="I55" s="3" t="str">
        <f>IF(ROWS($I$23:I55)&lt;=n_T,"Training",IF(AND(Data_Effect_m_L[[#This Row],[PCM]]&lt;&gt;"RT8 (15mm)",Data_Effect_m_L[[#This Row],[PCM]]&lt;&gt;"RT18"),"Validation",IF(Data_Effect_m_L[[#This Row],[PCM]]="RT8 (15mm)",$B$7,$B$8)))</f>
        <v>Validation</v>
      </c>
      <c r="J55" s="3">
        <f ca="1">IF(OR(Data_Effect_m_L[[#This Row],[T / V]]="Training",Data_Effect_m_L[[#This Row],[T / V]]="Validation"),RAND(),IF(Data_Effect_m_L[[#This Row],[PCM]]="RT8 (15mm)",1.1,1.2))</f>
        <v>0.27443537592807432</v>
      </c>
      <c r="K55" s="52"/>
      <c r="L55" s="52"/>
      <c r="M55" s="8"/>
      <c r="N55" s="3"/>
      <c r="O55" s="3">
        <f>Data_Effect_m_L[[#This Row],[A_q]]</f>
        <v>236.18810812499981</v>
      </c>
      <c r="P55" s="3">
        <f ca="1">Data_Effect_m_L[[#This Row],[A_T]]*$C$12</f>
        <v>228.76257537630156</v>
      </c>
      <c r="Q55" s="3" t="str">
        <f>Data_Effect_m_L[[#This Row],[T / V]]</f>
        <v>Validation</v>
      </c>
      <c r="R55" s="3">
        <f ca="1">ABS((Estimates_Effect_m_L[[#This Row],[A_q predicted (b=0)]]-Estimates_Effect_m_L[[#This Row],[A_q measured]])/Estimates_Effect_m_L[[#This Row],[A_q measured]])*100</f>
        <v>3.1439062735404031</v>
      </c>
      <c r="V55"/>
      <c r="W55"/>
      <c r="X55"/>
      <c r="Y55"/>
      <c r="Z55"/>
      <c r="AA55"/>
    </row>
    <row r="56" spans="1:27" s="2" customFormat="1" x14ac:dyDescent="0.3">
      <c r="A56" s="3" t="s">
        <v>11</v>
      </c>
      <c r="B56" s="3">
        <v>170</v>
      </c>
      <c r="C56" s="3" t="s">
        <v>10</v>
      </c>
      <c r="D56" s="3">
        <v>0.5</v>
      </c>
      <c r="E56" s="3">
        <v>1</v>
      </c>
      <c r="F56" s="3">
        <v>12.236660066643104</v>
      </c>
      <c r="G56" s="3">
        <v>246.42412532412126</v>
      </c>
      <c r="H56" s="3">
        <v>20.138185091524168</v>
      </c>
      <c r="I56" s="3" t="str">
        <f>IF(ROWS($I$23:I56)&lt;=n_T,"Training",IF(AND(Data_Effect_m_L[[#This Row],[PCM]]&lt;&gt;"RT8 (15mm)",Data_Effect_m_L[[#This Row],[PCM]]&lt;&gt;"RT18"),"Validation",IF(Data_Effect_m_L[[#This Row],[PCM]]="RT8 (15mm)",$B$7,$B$8)))</f>
        <v>Validation</v>
      </c>
      <c r="J56" s="3">
        <f ca="1">IF(OR(Data_Effect_m_L[[#This Row],[T / V]]="Training",Data_Effect_m_L[[#This Row],[T / V]]="Validation"),RAND(),IF(Data_Effect_m_L[[#This Row],[PCM]]="RT8 (15mm)",1.1,1.2))</f>
        <v>0.31329125890689358</v>
      </c>
      <c r="K56" s="52"/>
      <c r="L56" s="52"/>
      <c r="M56" s="8"/>
      <c r="N56" s="3"/>
      <c r="O56" s="3">
        <f>Data_Effect_m_L[[#This Row],[A_q]]</f>
        <v>246.42412532412126</v>
      </c>
      <c r="P56" s="3">
        <f ca="1">Data_Effect_m_L[[#This Row],[A_T]]*$C$12</f>
        <v>245.69115506106522</v>
      </c>
      <c r="Q56" s="3" t="str">
        <f>Data_Effect_m_L[[#This Row],[T / V]]</f>
        <v>Validation</v>
      </c>
      <c r="R56" s="3">
        <f ca="1">ABS((Estimates_Effect_m_L[[#This Row],[A_q predicted (b=0)]]-Estimates_Effect_m_L[[#This Row],[A_q measured]])/Estimates_Effect_m_L[[#This Row],[A_q measured]])*100</f>
        <v>0.29744257470406826</v>
      </c>
      <c r="V56"/>
      <c r="W56"/>
      <c r="X56"/>
      <c r="Y56"/>
      <c r="Z56"/>
      <c r="AA56"/>
    </row>
    <row r="57" spans="1:27" s="2" customFormat="1" x14ac:dyDescent="0.3">
      <c r="A57" s="3" t="s">
        <v>8</v>
      </c>
      <c r="B57" s="3">
        <v>170</v>
      </c>
      <c r="C57" s="3" t="s">
        <v>10</v>
      </c>
      <c r="D57" s="3">
        <v>0.5</v>
      </c>
      <c r="E57" s="3">
        <v>3</v>
      </c>
      <c r="F57" s="3">
        <v>6.6891725519443357</v>
      </c>
      <c r="G57" s="3">
        <v>134.90327528622092</v>
      </c>
      <c r="H57" s="3">
        <v>20.167408485674166</v>
      </c>
      <c r="I57" s="3" t="str">
        <f>IF(ROWS($I$23:I57)&lt;=n_T,"Training",IF(AND(Data_Effect_m_L[[#This Row],[PCM]]&lt;&gt;"RT8 (15mm)",Data_Effect_m_L[[#This Row],[PCM]]&lt;&gt;"RT18"),"Validation",IF(Data_Effect_m_L[[#This Row],[PCM]]="RT8 (15mm)",$B$7,$B$8)))</f>
        <v>Validation</v>
      </c>
      <c r="J57" s="3">
        <f ca="1">IF(OR(Data_Effect_m_L[[#This Row],[T / V]]="Training",Data_Effect_m_L[[#This Row],[T / V]]="Validation"),RAND(),IF(Data_Effect_m_L[[#This Row],[PCM]]="RT8 (15mm)",1.1,1.2))</f>
        <v>0.40347588967822035</v>
      </c>
      <c r="K57" s="52"/>
      <c r="L57" s="52"/>
      <c r="M57" s="8"/>
      <c r="N57" s="3"/>
      <c r="O57" s="3">
        <f>Data_Effect_m_L[[#This Row],[A_q]]</f>
        <v>134.90327528622092</v>
      </c>
      <c r="P57" s="3">
        <f ca="1">Data_Effect_m_L[[#This Row],[A_T]]*$C$12</f>
        <v>134.30711662654139</v>
      </c>
      <c r="Q57" s="3" t="str">
        <f>Data_Effect_m_L[[#This Row],[T / V]]</f>
        <v>Validation</v>
      </c>
      <c r="R57" s="3">
        <f ca="1">ABS((Estimates_Effect_m_L[[#This Row],[A_q predicted (b=0)]]-Estimates_Effect_m_L[[#This Row],[A_q measured]])/Estimates_Effect_m_L[[#This Row],[A_q measured]])*100</f>
        <v>0.44191563059879491</v>
      </c>
      <c r="V57"/>
      <c r="W57"/>
      <c r="X57"/>
      <c r="Y57"/>
      <c r="Z57"/>
      <c r="AA57"/>
    </row>
    <row r="58" spans="1:27" s="2" customFormat="1" x14ac:dyDescent="0.3">
      <c r="A58" s="3" t="s">
        <v>11</v>
      </c>
      <c r="B58" s="3">
        <v>170</v>
      </c>
      <c r="C58" s="3" t="s">
        <v>10</v>
      </c>
      <c r="D58" s="3">
        <v>1</v>
      </c>
      <c r="E58" s="3">
        <v>1</v>
      </c>
      <c r="F58" s="3">
        <v>11.064381075029758</v>
      </c>
      <c r="G58" s="3">
        <v>222.77243533078848</v>
      </c>
      <c r="H58" s="3">
        <v>20.134197640168441</v>
      </c>
      <c r="I58" s="3" t="str">
        <f>IF(ROWS($I$23:I58)&lt;=n_T,"Training",IF(AND(Data_Effect_m_L[[#This Row],[PCM]]&lt;&gt;"RT8 (15mm)",Data_Effect_m_L[[#This Row],[PCM]]&lt;&gt;"RT18"),"Validation",IF(Data_Effect_m_L[[#This Row],[PCM]]="RT8 (15mm)",$B$7,$B$8)))</f>
        <v>Validation</v>
      </c>
      <c r="J58" s="3">
        <f ca="1">IF(OR(Data_Effect_m_L[[#This Row],[T / V]]="Training",Data_Effect_m_L[[#This Row],[T / V]]="Validation"),RAND(),IF(Data_Effect_m_L[[#This Row],[PCM]]="RT8 (15mm)",1.1,1.2))</f>
        <v>0.48581883780833934</v>
      </c>
      <c r="K58" s="52"/>
      <c r="L58" s="52"/>
      <c r="M58" s="8"/>
      <c r="N58" s="3"/>
      <c r="O58" s="3">
        <f>Data_Effect_m_L[[#This Row],[A_q]]</f>
        <v>222.77243533078848</v>
      </c>
      <c r="P58" s="3">
        <f ca="1">Data_Effect_m_L[[#This Row],[A_T]]*$C$12</f>
        <v>222.15380271698589</v>
      </c>
      <c r="Q58" s="3" t="str">
        <f>Data_Effect_m_L[[#This Row],[T / V]]</f>
        <v>Validation</v>
      </c>
      <c r="R58" s="3">
        <f ca="1">ABS((Estimates_Effect_m_L[[#This Row],[A_q predicted (b=0)]]-Estimates_Effect_m_L[[#This Row],[A_q measured]])/Estimates_Effect_m_L[[#This Row],[A_q measured]])*100</f>
        <v>0.27769710955666438</v>
      </c>
      <c r="U58" s="44"/>
      <c r="V58"/>
      <c r="W58"/>
      <c r="X58"/>
      <c r="Y58"/>
      <c r="Z58"/>
      <c r="AA58"/>
    </row>
    <row r="59" spans="1:27" s="2" customFormat="1" x14ac:dyDescent="0.3">
      <c r="A59" s="3" t="s">
        <v>37</v>
      </c>
      <c r="B59" s="3">
        <v>170</v>
      </c>
      <c r="C59" s="3" t="s">
        <v>9</v>
      </c>
      <c r="D59" s="3">
        <v>1</v>
      </c>
      <c r="E59" s="3">
        <v>1</v>
      </c>
      <c r="F59" s="3">
        <v>20.136299999999675</v>
      </c>
      <c r="G59" s="3">
        <v>422.07809643010341</v>
      </c>
      <c r="H59" s="3">
        <v>20.961055230112297</v>
      </c>
      <c r="I59" s="3" t="str">
        <f>IF(ROWS($I$23:I59)&lt;=n_T,"Training",IF(AND(Data_Effect_m_L[[#This Row],[PCM]]&lt;&gt;"RT8 (15mm)",Data_Effect_m_L[[#This Row],[PCM]]&lt;&gt;"RT18"),"Validation",IF(Data_Effect_m_L[[#This Row],[PCM]]="RT8 (15mm)",$B$7,$B$8)))</f>
        <v>Mass Effect</v>
      </c>
      <c r="J59" s="3">
        <f ca="1">IF(OR(Data_Effect_m_L[[#This Row],[T / V]]="Training",Data_Effect_m_L[[#This Row],[T / V]]="Validation"),RAND(),IF(Data_Effect_m_L[[#This Row],[PCM]]="RT8 (15mm)",1.1,1.2))</f>
        <v>1.1000000000000001</v>
      </c>
      <c r="K59" s="52"/>
      <c r="L59" s="52"/>
      <c r="M59" s="8"/>
      <c r="N59" s="3"/>
      <c r="O59" s="3">
        <f>Data_Effect_m_L[[#This Row],[A_q]]</f>
        <v>422.07809643010341</v>
      </c>
      <c r="P59" s="3">
        <f ca="1">Data_Effect_m_L[[#This Row],[A_T]]*$C$12</f>
        <v>404.30238142696476</v>
      </c>
      <c r="Q59" s="3" t="str">
        <f>Data_Effect_m_L[[#This Row],[T / V]]</f>
        <v>Mass Effect</v>
      </c>
      <c r="R59" s="3">
        <f ca="1">ABS((Estimates_Effect_m_L[[#This Row],[A_q predicted (b=0)]]-Estimates_Effect_m_L[[#This Row],[A_q measured]])/Estimates_Effect_m_L[[#This Row],[A_q measured]])*100</f>
        <v>4.2114753533727463</v>
      </c>
      <c r="V59"/>
      <c r="W59"/>
      <c r="X59"/>
      <c r="Y59"/>
      <c r="Z59"/>
      <c r="AA59"/>
    </row>
    <row r="60" spans="1:27" s="2" customFormat="1" x14ac:dyDescent="0.3">
      <c r="A60" s="3" t="s">
        <v>37</v>
      </c>
      <c r="B60" s="3">
        <v>170</v>
      </c>
      <c r="C60" s="3" t="s">
        <v>9</v>
      </c>
      <c r="D60" s="3">
        <v>1</v>
      </c>
      <c r="E60" s="3">
        <v>2</v>
      </c>
      <c r="F60" s="3">
        <v>20.233381415732683</v>
      </c>
      <c r="G60" s="3">
        <v>404.99093146994852</v>
      </c>
      <c r="H60" s="3">
        <v>20.015978701169711</v>
      </c>
      <c r="I60" s="3" t="str">
        <f>IF(ROWS($I$23:I60)&lt;=n_T,"Training",IF(AND(Data_Effect_m_L[[#This Row],[PCM]]&lt;&gt;"RT8 (15mm)",Data_Effect_m_L[[#This Row],[PCM]]&lt;&gt;"RT18"),"Validation",IF(Data_Effect_m_L[[#This Row],[PCM]]="RT8 (15mm)",$B$7,$B$8)))</f>
        <v>Mass Effect</v>
      </c>
      <c r="J60" s="3">
        <f ca="1">IF(OR(Data_Effect_m_L[[#This Row],[T / V]]="Training",Data_Effect_m_L[[#This Row],[T / V]]="Validation"),RAND(),IF(Data_Effect_m_L[[#This Row],[PCM]]="RT8 (15mm)",1.1,1.2))</f>
        <v>1.1000000000000001</v>
      </c>
      <c r="K60" s="52"/>
      <c r="L60" s="52"/>
      <c r="M60" s="8"/>
      <c r="N60" s="3"/>
      <c r="O60" s="3">
        <f>Data_Effect_m_L[[#This Row],[A_q]]</f>
        <v>404.99093146994852</v>
      </c>
      <c r="P60" s="3">
        <f ca="1">Data_Effect_m_L[[#This Row],[A_T]]*$C$12</f>
        <v>406.25160981416383</v>
      </c>
      <c r="Q60" s="3" t="str">
        <f>Data_Effect_m_L[[#This Row],[T / V]]</f>
        <v>Mass Effect</v>
      </c>
      <c r="R60" s="3">
        <f ca="1">ABS((Estimates_Effect_m_L[[#This Row],[A_q predicted (b=0)]]-Estimates_Effect_m_L[[#This Row],[A_q measured]])/Estimates_Effect_m_L[[#This Row],[A_q measured]])*100</f>
        <v>0.31128557363977749</v>
      </c>
      <c r="V60"/>
      <c r="W60"/>
      <c r="X60"/>
      <c r="Y60"/>
      <c r="Z60"/>
      <c r="AA60"/>
    </row>
    <row r="61" spans="1:27" s="2" customFormat="1" x14ac:dyDescent="0.3">
      <c r="A61" s="3" t="s">
        <v>37</v>
      </c>
      <c r="B61" s="3">
        <v>170</v>
      </c>
      <c r="C61" s="3" t="s">
        <v>9</v>
      </c>
      <c r="D61" s="3">
        <v>1</v>
      </c>
      <c r="E61" s="3">
        <v>3</v>
      </c>
      <c r="F61" s="3">
        <v>21.178307900317577</v>
      </c>
      <c r="G61" s="3">
        <v>403.6620200942827</v>
      </c>
      <c r="H61" s="3">
        <v>19.060163918394522</v>
      </c>
      <c r="I61" s="3" t="str">
        <f>IF(ROWS($I$23:I61)&lt;=n_T,"Training",IF(AND(Data_Effect_m_L[[#This Row],[PCM]]&lt;&gt;"RT8 (15mm)",Data_Effect_m_L[[#This Row],[PCM]]&lt;&gt;"RT18"),"Validation",IF(Data_Effect_m_L[[#This Row],[PCM]]="RT8 (15mm)",$B$7,$B$8)))</f>
        <v>Mass Effect</v>
      </c>
      <c r="J61" s="3">
        <f ca="1">IF(OR(Data_Effect_m_L[[#This Row],[T / V]]="Training",Data_Effect_m_L[[#This Row],[T / V]]="Validation"),RAND(),IF(Data_Effect_m_L[[#This Row],[PCM]]="RT8 (15mm)",1.1,1.2))</f>
        <v>1.1000000000000001</v>
      </c>
      <c r="K61" s="52"/>
      <c r="L61" s="52"/>
      <c r="M61" s="8"/>
      <c r="N61" s="3"/>
      <c r="O61" s="3">
        <f>Data_Effect_m_L[[#This Row],[A_q]]</f>
        <v>403.6620200942827</v>
      </c>
      <c r="P61" s="3">
        <f ca="1">Data_Effect_m_L[[#This Row],[A_T]]*$C$12</f>
        <v>425.22411360041497</v>
      </c>
      <c r="Q61" s="3" t="str">
        <f>Data_Effect_m_L[[#This Row],[T / V]]</f>
        <v>Mass Effect</v>
      </c>
      <c r="R61" s="3">
        <f ca="1">ABS((Estimates_Effect_m_L[[#This Row],[A_q predicted (b=0)]]-Estimates_Effect_m_L[[#This Row],[A_q measured]])/Estimates_Effect_m_L[[#This Row],[A_q measured]])*100</f>
        <v>5.3416205718576268</v>
      </c>
      <c r="V61"/>
      <c r="W61"/>
      <c r="X61"/>
      <c r="Y61"/>
      <c r="Z61"/>
      <c r="AA61"/>
    </row>
    <row r="62" spans="1:27" s="2" customFormat="1" x14ac:dyDescent="0.3">
      <c r="A62" s="3" t="s">
        <v>37</v>
      </c>
      <c r="B62" s="3">
        <v>170</v>
      </c>
      <c r="C62" s="3" t="s">
        <v>10</v>
      </c>
      <c r="D62" s="3">
        <v>1</v>
      </c>
      <c r="E62" s="3">
        <v>1</v>
      </c>
      <c r="F62" s="3">
        <v>14.619000000000637</v>
      </c>
      <c r="G62" s="3">
        <v>301.61215956541196</v>
      </c>
      <c r="H62" s="3">
        <v>20.631517857951902</v>
      </c>
      <c r="I62" s="3" t="str">
        <f>IF(ROWS($I$23:I62)&lt;=n_T,"Training",IF(AND(Data_Effect_m_L[[#This Row],[PCM]]&lt;&gt;"RT8 (15mm)",Data_Effect_m_L[[#This Row],[PCM]]&lt;&gt;"RT18"),"Validation",IF(Data_Effect_m_L[[#This Row],[PCM]]="RT8 (15mm)",$B$7,$B$8)))</f>
        <v>Mass Effect</v>
      </c>
      <c r="J62" s="3">
        <f ca="1">IF(OR(Data_Effect_m_L[[#This Row],[T / V]]="Training",Data_Effect_m_L[[#This Row],[T / V]]="Validation"),RAND(),IF(Data_Effect_m_L[[#This Row],[PCM]]="RT8 (15mm)",1.1,1.2))</f>
        <v>1.1000000000000001</v>
      </c>
      <c r="K62" s="52"/>
      <c r="L62" s="52"/>
      <c r="M62" s="8"/>
      <c r="N62" s="3"/>
      <c r="O62" s="3">
        <f>Data_Effect_m_L[[#This Row],[A_q]]</f>
        <v>301.61215956541196</v>
      </c>
      <c r="P62" s="3">
        <f ca="1">Data_Effect_m_L[[#This Row],[A_T]]*$C$12</f>
        <v>293.52445653278659</v>
      </c>
      <c r="Q62" s="3" t="str">
        <f>Data_Effect_m_L[[#This Row],[T / V]]</f>
        <v>Mass Effect</v>
      </c>
      <c r="R62" s="3">
        <f ca="1">ABS((Estimates_Effect_m_L[[#This Row],[A_q predicted (b=0)]]-Estimates_Effect_m_L[[#This Row],[A_q measured]])/Estimates_Effect_m_L[[#This Row],[A_q measured]])*100</f>
        <v>2.6814910394457603</v>
      </c>
      <c r="V62"/>
      <c r="W62"/>
      <c r="X62"/>
      <c r="Y62"/>
      <c r="Z62"/>
      <c r="AA62"/>
    </row>
    <row r="63" spans="1:27" s="2" customFormat="1" x14ac:dyDescent="0.3">
      <c r="A63" s="3" t="s">
        <v>37</v>
      </c>
      <c r="B63" s="3">
        <v>170</v>
      </c>
      <c r="C63" s="3" t="s">
        <v>10</v>
      </c>
      <c r="D63" s="3">
        <v>1</v>
      </c>
      <c r="E63" s="3">
        <v>2</v>
      </c>
      <c r="F63" s="3">
        <v>17.935800000001304</v>
      </c>
      <c r="G63" s="3">
        <v>365.21590909090946</v>
      </c>
      <c r="H63" s="3">
        <v>20.36239861566715</v>
      </c>
      <c r="I63" s="3" t="str">
        <f>IF(ROWS($I$23:I63)&lt;=n_T,"Training",IF(AND(Data_Effect_m_L[[#This Row],[PCM]]&lt;&gt;"RT8 (15mm)",Data_Effect_m_L[[#This Row],[PCM]]&lt;&gt;"RT18"),"Validation",IF(Data_Effect_m_L[[#This Row],[PCM]]="RT8 (15mm)",$B$7,$B$8)))</f>
        <v>Mass Effect</v>
      </c>
      <c r="J63" s="3">
        <f ca="1">IF(OR(Data_Effect_m_L[[#This Row],[T / V]]="Training",Data_Effect_m_L[[#This Row],[T / V]]="Validation"),RAND(),IF(Data_Effect_m_L[[#This Row],[PCM]]="RT8 (15mm)",1.1,1.2))</f>
        <v>1.1000000000000001</v>
      </c>
      <c r="K63" s="52"/>
      <c r="L63" s="52"/>
      <c r="M63" s="8"/>
      <c r="N63" s="3"/>
      <c r="O63" s="3">
        <f>Data_Effect_m_L[[#This Row],[A_q]]</f>
        <v>365.21590909090946</v>
      </c>
      <c r="P63" s="3">
        <f ca="1">Data_Effect_m_L[[#This Row],[A_T]]*$C$12</f>
        <v>360.12011406258341</v>
      </c>
      <c r="Q63" s="3" t="str">
        <f>Data_Effect_m_L[[#This Row],[T / V]]</f>
        <v>Mass Effect</v>
      </c>
      <c r="R63" s="3">
        <f ca="1">ABS((Estimates_Effect_m_L[[#This Row],[A_q predicted (b=0)]]-Estimates_Effect_m_L[[#This Row],[A_q measured]])/Estimates_Effect_m_L[[#This Row],[A_q measured]])*100</f>
        <v>1.3952828728108906</v>
      </c>
      <c r="V63"/>
      <c r="W63"/>
      <c r="X63"/>
      <c r="Y63"/>
      <c r="Z63"/>
      <c r="AA63"/>
    </row>
    <row r="64" spans="1:27" s="2" customFormat="1" x14ac:dyDescent="0.3">
      <c r="A64" s="3" t="s">
        <v>37</v>
      </c>
      <c r="B64" s="3">
        <v>170</v>
      </c>
      <c r="C64" s="3" t="s">
        <v>10</v>
      </c>
      <c r="D64" s="3">
        <v>1</v>
      </c>
      <c r="E64" s="3">
        <v>3</v>
      </c>
      <c r="F64" s="3">
        <v>17.970455508345797</v>
      </c>
      <c r="G64" s="3">
        <v>340.37905812139587</v>
      </c>
      <c r="H64" s="3">
        <v>18.941036745747365</v>
      </c>
      <c r="I64" s="3" t="str">
        <f>IF(ROWS($I$23:I64)&lt;=n_T,"Training",IF(AND(Data_Effect_m_L[[#This Row],[PCM]]&lt;&gt;"RT8 (15mm)",Data_Effect_m_L[[#This Row],[PCM]]&lt;&gt;"RT18"),"Validation",IF(Data_Effect_m_L[[#This Row],[PCM]]="RT8 (15mm)",$B$7,$B$8)))</f>
        <v>Mass Effect</v>
      </c>
      <c r="J64" s="3">
        <f ca="1">IF(OR(Data_Effect_m_L[[#This Row],[T / V]]="Training",Data_Effect_m_L[[#This Row],[T / V]]="Validation"),RAND(),IF(Data_Effect_m_L[[#This Row],[PCM]]="RT8 (15mm)",1.1,1.2))</f>
        <v>1.1000000000000001</v>
      </c>
      <c r="K64" s="52"/>
      <c r="L64" s="52"/>
      <c r="M64" s="8"/>
      <c r="N64" s="3"/>
      <c r="O64" s="3">
        <f>Data_Effect_m_L[[#This Row],[A_q]]</f>
        <v>340.37905812139587</v>
      </c>
      <c r="P64" s="3">
        <f ca="1">Data_Effect_m_L[[#This Row],[A_T]]*$C$12</f>
        <v>360.81593725518786</v>
      </c>
      <c r="Q64" s="3" t="str">
        <f>Data_Effect_m_L[[#This Row],[T / V]]</f>
        <v>Mass Effect</v>
      </c>
      <c r="R64" s="3">
        <f ca="1">ABS((Estimates_Effect_m_L[[#This Row],[A_q predicted (b=0)]]-Estimates_Effect_m_L[[#This Row],[A_q measured]])/Estimates_Effect_m_L[[#This Row],[A_q measured]])*100</f>
        <v>6.0041529131040718</v>
      </c>
      <c r="V64"/>
      <c r="W64"/>
      <c r="X64"/>
      <c r="Y64"/>
      <c r="Z64"/>
      <c r="AA64"/>
    </row>
    <row r="65" spans="1:27" s="2" customFormat="1" x14ac:dyDescent="0.3">
      <c r="A65" s="3" t="s">
        <v>37</v>
      </c>
      <c r="B65" s="3">
        <v>170</v>
      </c>
      <c r="C65" s="3" t="s">
        <v>9</v>
      </c>
      <c r="D65" s="3">
        <v>0.5</v>
      </c>
      <c r="E65" s="3">
        <v>1</v>
      </c>
      <c r="F65" s="3">
        <v>19.795800000000789</v>
      </c>
      <c r="G65" s="3">
        <v>417.0263999999998</v>
      </c>
      <c r="H65" s="3">
        <v>21.066408025944046</v>
      </c>
      <c r="I65" s="3" t="str">
        <f>IF(ROWS($I$23:I65)&lt;=n_T,"Training",IF(AND(Data_Effect_m_L[[#This Row],[PCM]]&lt;&gt;"RT8 (15mm)",Data_Effect_m_L[[#This Row],[PCM]]&lt;&gt;"RT18"),"Validation",IF(Data_Effect_m_L[[#This Row],[PCM]]="RT8 (15mm)",$B$7,$B$8)))</f>
        <v>Mass Effect</v>
      </c>
      <c r="J65" s="3">
        <f ca="1">IF(OR(Data_Effect_m_L[[#This Row],[T / V]]="Training",Data_Effect_m_L[[#This Row],[T / V]]="Validation"),RAND(),IF(Data_Effect_m_L[[#This Row],[PCM]]="RT8 (15mm)",1.1,1.2))</f>
        <v>1.1000000000000001</v>
      </c>
      <c r="K65" s="52"/>
      <c r="L65" s="52"/>
      <c r="M65" s="8"/>
      <c r="N65" s="3"/>
      <c r="O65" s="3">
        <f>Data_Effect_m_L[[#This Row],[A_q]]</f>
        <v>417.0263999999998</v>
      </c>
      <c r="P65" s="3">
        <f ca="1">Data_Effect_m_L[[#This Row],[A_T]]*$C$12</f>
        <v>397.4657251954111</v>
      </c>
      <c r="Q65" s="3" t="str">
        <f>Data_Effect_m_L[[#This Row],[T / V]]</f>
        <v>Mass Effect</v>
      </c>
      <c r="R65" s="3">
        <f ca="1">ABS((Estimates_Effect_m_L[[#This Row],[A_q predicted (b=0)]]-Estimates_Effect_m_L[[#This Row],[A_q measured]])/Estimates_Effect_m_L[[#This Row],[A_q measured]])*100</f>
        <v>4.6905123523567598</v>
      </c>
      <c r="V65"/>
      <c r="W65"/>
      <c r="X65"/>
      <c r="Y65"/>
      <c r="Z65"/>
      <c r="AA65"/>
    </row>
    <row r="66" spans="1:27" s="2" customFormat="1" x14ac:dyDescent="0.3">
      <c r="A66" s="3" t="s">
        <v>37</v>
      </c>
      <c r="B66" s="3">
        <v>170</v>
      </c>
      <c r="C66" s="3" t="s">
        <v>9</v>
      </c>
      <c r="D66" s="3">
        <v>0.5</v>
      </c>
      <c r="E66" s="3">
        <v>2</v>
      </c>
      <c r="F66" s="3">
        <v>18.948021681361006</v>
      </c>
      <c r="G66" s="3">
        <v>412.3936411407775</v>
      </c>
      <c r="H66" s="3">
        <v>21.764469561824775</v>
      </c>
      <c r="I66" s="3" t="str">
        <f>IF(ROWS($I$23:I66)&lt;=n_T,"Training",IF(AND(Data_Effect_m_L[[#This Row],[PCM]]&lt;&gt;"RT8 (15mm)",Data_Effect_m_L[[#This Row],[PCM]]&lt;&gt;"RT18"),"Validation",IF(Data_Effect_m_L[[#This Row],[PCM]]="RT8 (15mm)",$B$7,$B$8)))</f>
        <v>Mass Effect</v>
      </c>
      <c r="J66" s="3">
        <f ca="1">IF(OR(Data_Effect_m_L[[#This Row],[T / V]]="Training",Data_Effect_m_L[[#This Row],[T / V]]="Validation"),RAND(),IF(Data_Effect_m_L[[#This Row],[PCM]]="RT8 (15mm)",1.1,1.2))</f>
        <v>1.1000000000000001</v>
      </c>
      <c r="K66" s="52"/>
      <c r="L66" s="52"/>
      <c r="M66" s="8"/>
      <c r="N66" s="3"/>
      <c r="O66" s="3">
        <f>Data_Effect_m_L[[#This Row],[A_q]]</f>
        <v>412.3936411407775</v>
      </c>
      <c r="P66" s="3">
        <f ca="1">Data_Effect_m_L[[#This Row],[A_T]]*$C$12</f>
        <v>380.44379002617853</v>
      </c>
      <c r="Q66" s="3" t="str">
        <f>Data_Effect_m_L[[#This Row],[T / V]]</f>
        <v>Mass Effect</v>
      </c>
      <c r="R66" s="3">
        <f ca="1">ABS((Estimates_Effect_m_L[[#This Row],[A_q predicted (b=0)]]-Estimates_Effect_m_L[[#This Row],[A_q measured]])/Estimates_Effect_m_L[[#This Row],[A_q measured]])*100</f>
        <v>7.7474160431325254</v>
      </c>
      <c r="V66"/>
      <c r="W66"/>
      <c r="X66"/>
      <c r="Y66"/>
      <c r="Z66"/>
      <c r="AA66"/>
    </row>
    <row r="67" spans="1:27" s="2" customFormat="1" x14ac:dyDescent="0.3">
      <c r="A67" s="3" t="s">
        <v>37</v>
      </c>
      <c r="B67" s="3">
        <v>170</v>
      </c>
      <c r="C67" s="3" t="s">
        <v>9</v>
      </c>
      <c r="D67" s="3">
        <v>0.5</v>
      </c>
      <c r="E67" s="3">
        <v>3</v>
      </c>
      <c r="F67" s="3">
        <v>16.33920000000073</v>
      </c>
      <c r="G67" s="3">
        <v>353.55864367151293</v>
      </c>
      <c r="H67" s="3">
        <v>21.63867531283644</v>
      </c>
      <c r="I67" s="3" t="str">
        <f>IF(ROWS($I$23:I67)&lt;=n_T,"Training",IF(AND(Data_Effect_m_L[[#This Row],[PCM]]&lt;&gt;"RT8 (15mm)",Data_Effect_m_L[[#This Row],[PCM]]&lt;&gt;"RT18"),"Validation",IF(Data_Effect_m_L[[#This Row],[PCM]]="RT8 (15mm)",$B$7,$B$8)))</f>
        <v>Mass Effect</v>
      </c>
      <c r="J67" s="3">
        <f ca="1">IF(OR(Data_Effect_m_L[[#This Row],[T / V]]="Training",Data_Effect_m_L[[#This Row],[T / V]]="Validation"),RAND(),IF(Data_Effect_m_L[[#This Row],[PCM]]="RT8 (15mm)",1.1,1.2))</f>
        <v>1.1000000000000001</v>
      </c>
      <c r="K67" s="52"/>
      <c r="L67" s="52"/>
      <c r="M67" s="8"/>
      <c r="N67" s="3"/>
      <c r="O67" s="3">
        <f>Data_Effect_m_L[[#This Row],[A_q]]</f>
        <v>353.55864367151293</v>
      </c>
      <c r="P67" s="3">
        <f ca="1">Data_Effect_m_L[[#This Row],[A_T]]*$C$12</f>
        <v>328.06312334499705</v>
      </c>
      <c r="Q67" s="3" t="str">
        <f>Data_Effect_m_L[[#This Row],[T / V]]</f>
        <v>Mass Effect</v>
      </c>
      <c r="R67" s="3">
        <f ca="1">ABS((Estimates_Effect_m_L[[#This Row],[A_q predicted (b=0)]]-Estimates_Effect_m_L[[#This Row],[A_q measured]])/Estimates_Effect_m_L[[#This Row],[A_q measured]])*100</f>
        <v>7.2111149827250305</v>
      </c>
      <c r="V67"/>
      <c r="W67"/>
      <c r="X67"/>
      <c r="Y67"/>
      <c r="Z67"/>
      <c r="AA67"/>
    </row>
    <row r="68" spans="1:27" s="2" customFormat="1" x14ac:dyDescent="0.3">
      <c r="A68" s="3" t="s">
        <v>37</v>
      </c>
      <c r="B68" s="3">
        <v>170</v>
      </c>
      <c r="C68" s="3" t="s">
        <v>10</v>
      </c>
      <c r="D68" s="3">
        <v>0.5</v>
      </c>
      <c r="E68" s="3">
        <v>1</v>
      </c>
      <c r="F68" s="3">
        <v>16.090530088193475</v>
      </c>
      <c r="G68" s="3">
        <v>334.92233180419038</v>
      </c>
      <c r="H68" s="3">
        <v>20.814872472718701</v>
      </c>
      <c r="I68" s="3" t="str">
        <f>IF(ROWS($I$23:I68)&lt;=n_T,"Training",IF(AND(Data_Effect_m_L[[#This Row],[PCM]]&lt;&gt;"RT8 (15mm)",Data_Effect_m_L[[#This Row],[PCM]]&lt;&gt;"RT18"),"Validation",IF(Data_Effect_m_L[[#This Row],[PCM]]="RT8 (15mm)",$B$7,$B$8)))</f>
        <v>Mass Effect</v>
      </c>
      <c r="J68" s="3">
        <f ca="1">IF(OR(Data_Effect_m_L[[#This Row],[T / V]]="Training",Data_Effect_m_L[[#This Row],[T / V]]="Validation"),RAND(),IF(Data_Effect_m_L[[#This Row],[PCM]]="RT8 (15mm)",1.1,1.2))</f>
        <v>1.1000000000000001</v>
      </c>
      <c r="K68" s="52"/>
      <c r="L68" s="52"/>
      <c r="M68" s="8"/>
      <c r="N68" s="3"/>
      <c r="O68" s="3">
        <f>Data_Effect_m_L[[#This Row],[A_q]]</f>
        <v>334.92233180419038</v>
      </c>
      <c r="P68" s="3">
        <f ca="1">Data_Effect_m_L[[#This Row],[A_T]]*$C$12</f>
        <v>323.07025784672237</v>
      </c>
      <c r="Q68" s="3" t="str">
        <f>Data_Effect_m_L[[#This Row],[T / V]]</f>
        <v>Mass Effect</v>
      </c>
      <c r="R68" s="3">
        <f ca="1">ABS((Estimates_Effect_m_L[[#This Row],[A_q predicted (b=0)]]-Estimates_Effect_m_L[[#This Row],[A_q measured]])/Estimates_Effect_m_L[[#This Row],[A_q measured]])*100</f>
        <v>3.5387529680753649</v>
      </c>
      <c r="V68"/>
      <c r="W68"/>
      <c r="X68"/>
      <c r="Y68"/>
      <c r="Z68"/>
      <c r="AA68"/>
    </row>
    <row r="69" spans="1:27" s="2" customFormat="1" x14ac:dyDescent="0.3">
      <c r="A69" s="3" t="s">
        <v>37</v>
      </c>
      <c r="B69" s="3">
        <v>170</v>
      </c>
      <c r="C69" s="3" t="s">
        <v>10</v>
      </c>
      <c r="D69" s="3">
        <v>0.5</v>
      </c>
      <c r="E69" s="3">
        <v>2</v>
      </c>
      <c r="F69" s="3">
        <v>14.901658243472077</v>
      </c>
      <c r="G69" s="3">
        <v>299.1960258608637</v>
      </c>
      <c r="H69" s="3">
        <v>20.078035677132213</v>
      </c>
      <c r="I69" s="3" t="str">
        <f>IF(ROWS($I$23:I69)&lt;=n_T,"Training",IF(AND(Data_Effect_m_L[[#This Row],[PCM]]&lt;&gt;"RT8 (15mm)",Data_Effect_m_L[[#This Row],[PCM]]&lt;&gt;"RT18"),"Validation",IF(Data_Effect_m_L[[#This Row],[PCM]]="RT8 (15mm)",$B$7,$B$8)))</f>
        <v>Mass Effect</v>
      </c>
      <c r="J69" s="3">
        <f ca="1">IF(OR(Data_Effect_m_L[[#This Row],[T / V]]="Training",Data_Effect_m_L[[#This Row],[T / V]]="Validation"),RAND(),IF(Data_Effect_m_L[[#This Row],[PCM]]="RT8 (15mm)",1.1,1.2))</f>
        <v>1.1000000000000001</v>
      </c>
      <c r="K69" s="52"/>
      <c r="L69" s="52"/>
      <c r="M69" s="8"/>
      <c r="N69" s="3"/>
      <c r="O69" s="3">
        <f>Data_Effect_m_L[[#This Row],[A_q]]</f>
        <v>299.1960258608637</v>
      </c>
      <c r="P69" s="3">
        <f ca="1">Data_Effect_m_L[[#This Row],[A_T]]*$C$12</f>
        <v>299.19974945976264</v>
      </c>
      <c r="Q69" s="3" t="str">
        <f>Data_Effect_m_L[[#This Row],[T / V]]</f>
        <v>Mass Effect</v>
      </c>
      <c r="R69" s="3">
        <f ca="1">ABS((Estimates_Effect_m_L[[#This Row],[A_q predicted (b=0)]]-Estimates_Effect_m_L[[#This Row],[A_q measured]])/Estimates_Effect_m_L[[#This Row],[A_q measured]])*100</f>
        <v>1.2445348791749297E-3</v>
      </c>
      <c r="V69"/>
      <c r="W69"/>
      <c r="X69"/>
      <c r="Y69"/>
      <c r="Z69"/>
      <c r="AA69"/>
    </row>
    <row r="70" spans="1:27" s="2" customFormat="1" x14ac:dyDescent="0.3">
      <c r="A70" s="3" t="s">
        <v>37</v>
      </c>
      <c r="B70" s="3">
        <v>170</v>
      </c>
      <c r="C70" s="3" t="s">
        <v>10</v>
      </c>
      <c r="D70" s="3">
        <v>0.5</v>
      </c>
      <c r="E70" s="3">
        <v>3</v>
      </c>
      <c r="F70" s="3">
        <v>15.294906027162751</v>
      </c>
      <c r="G70" s="3">
        <v>318.35937208508204</v>
      </c>
      <c r="H70" s="3">
        <v>20.814732141518011</v>
      </c>
      <c r="I70" s="3" t="str">
        <f>IF(ROWS($I$23:I70)&lt;=n_T,"Training",IF(AND(Data_Effect_m_L[[#This Row],[PCM]]&lt;&gt;"RT8 (15mm)",Data_Effect_m_L[[#This Row],[PCM]]&lt;&gt;"RT18"),"Validation",IF(Data_Effect_m_L[[#This Row],[PCM]]="RT8 (15mm)",$B$7,$B$8)))</f>
        <v>Mass Effect</v>
      </c>
      <c r="J70" s="3">
        <f ca="1">IF(OR(Data_Effect_m_L[[#This Row],[T / V]]="Training",Data_Effect_m_L[[#This Row],[T / V]]="Validation"),RAND(),IF(Data_Effect_m_L[[#This Row],[PCM]]="RT8 (15mm)",1.1,1.2))</f>
        <v>1.1000000000000001</v>
      </c>
      <c r="K70" s="52"/>
      <c r="L70" s="52"/>
      <c r="M70" s="8"/>
      <c r="N70" s="3"/>
      <c r="O70" s="3">
        <f>Data_Effect_m_L[[#This Row],[A_q]]</f>
        <v>318.35937208508204</v>
      </c>
      <c r="P70" s="3">
        <f ca="1">Data_Effect_m_L[[#This Row],[A_T]]*$C$12</f>
        <v>307.09549075468863</v>
      </c>
      <c r="Q70" s="3" t="str">
        <f>Data_Effect_m_L[[#This Row],[T / V]]</f>
        <v>Mass Effect</v>
      </c>
      <c r="R70" s="3">
        <f ca="1">ABS((Estimates_Effect_m_L[[#This Row],[A_q predicted (b=0)]]-Estimates_Effect_m_L[[#This Row],[A_q measured]])/Estimates_Effect_m_L[[#This Row],[A_q measured]])*100</f>
        <v>3.5381026343346118</v>
      </c>
      <c r="V70"/>
      <c r="W70"/>
      <c r="X70"/>
      <c r="Y70"/>
      <c r="Z70"/>
      <c r="AA70"/>
    </row>
    <row r="71" spans="1:27" s="2" customFormat="1" x14ac:dyDescent="0.3">
      <c r="A71" s="3" t="s">
        <v>38</v>
      </c>
      <c r="B71" s="3">
        <v>230</v>
      </c>
      <c r="C71" s="3" t="s">
        <v>9</v>
      </c>
      <c r="D71" s="3">
        <v>1</v>
      </c>
      <c r="E71" s="3">
        <v>1</v>
      </c>
      <c r="F71" s="3">
        <v>26.190323511765527</v>
      </c>
      <c r="G71" s="3">
        <v>521.36237802390303</v>
      </c>
      <c r="H71" s="3">
        <v>19.906679571548263</v>
      </c>
      <c r="I71" s="3" t="str">
        <f>IF(ROWS($I$23:I71)&lt;=n_T,"Training",IF(AND(Data_Effect_m_L[[#This Row],[PCM]]&lt;&gt;"RT8 (15mm)",Data_Effect_m_L[[#This Row],[PCM]]&lt;&gt;"RT18"),"Validation",IF(Data_Effect_m_L[[#This Row],[PCM]]="RT8 (15mm)",$B$7,$B$8)))</f>
        <v>Latent Heat Effect</v>
      </c>
      <c r="J71" s="3">
        <f ca="1">IF(OR(Data_Effect_m_L[[#This Row],[T / V]]="Training",Data_Effect_m_L[[#This Row],[T / V]]="Validation"),RAND(),IF(Data_Effect_m_L[[#This Row],[PCM]]="RT8 (15mm)",1.1,1.2))</f>
        <v>1.2</v>
      </c>
      <c r="K71" s="52"/>
      <c r="L71" s="52"/>
      <c r="M71" s="8"/>
      <c r="N71" s="3"/>
      <c r="O71" s="3">
        <f>Data_Effect_m_L[[#This Row],[A_q]]</f>
        <v>521.36237802390303</v>
      </c>
      <c r="P71" s="3">
        <f ca="1">Data_Effect_m_L[[#This Row],[A_T]]*$C$12</f>
        <v>525.85679425463468</v>
      </c>
      <c r="Q71" s="3" t="str">
        <f>Data_Effect_m_L[[#This Row],[T / V]]</f>
        <v>Latent Heat Effect</v>
      </c>
      <c r="R71" s="3">
        <f ca="1">ABS((Estimates_Effect_m_L[[#This Row],[A_q predicted (b=0)]]-Estimates_Effect_m_L[[#This Row],[A_q measured]])/Estimates_Effect_m_L[[#This Row],[A_q measured]])*100</f>
        <v>0.86205227307858956</v>
      </c>
      <c r="V71"/>
      <c r="W71"/>
      <c r="X71"/>
      <c r="Y71"/>
      <c r="Z71"/>
      <c r="AA71"/>
    </row>
    <row r="72" spans="1:27" s="2" customFormat="1" x14ac:dyDescent="0.3">
      <c r="A72" s="3" t="s">
        <v>38</v>
      </c>
      <c r="B72" s="3">
        <v>230</v>
      </c>
      <c r="C72" s="3" t="s">
        <v>9</v>
      </c>
      <c r="D72" s="3">
        <v>1</v>
      </c>
      <c r="E72" s="3">
        <v>2</v>
      </c>
      <c r="F72" s="3">
        <v>27.339335607030392</v>
      </c>
      <c r="G72" s="3">
        <v>517.33538910520599</v>
      </c>
      <c r="H72" s="3">
        <v>18.922749131188528</v>
      </c>
      <c r="I72" s="3" t="str">
        <f>IF(ROWS($I$23:I72)&lt;=n_T,"Training",IF(AND(Data_Effect_m_L[[#This Row],[PCM]]&lt;&gt;"RT8 (15mm)",Data_Effect_m_L[[#This Row],[PCM]]&lt;&gt;"RT18"),"Validation",IF(Data_Effect_m_L[[#This Row],[PCM]]="RT8 (15mm)",$B$7,$B$8)))</f>
        <v>Latent Heat Effect</v>
      </c>
      <c r="J72" s="3">
        <f ca="1">IF(OR(Data_Effect_m_L[[#This Row],[T / V]]="Training",Data_Effect_m_L[[#This Row],[T / V]]="Validation"),RAND(),IF(Data_Effect_m_L[[#This Row],[PCM]]="RT8 (15mm)",1.1,1.2))</f>
        <v>1.2</v>
      </c>
      <c r="K72" s="52"/>
      <c r="L72" s="52"/>
      <c r="M72" s="8"/>
      <c r="N72" s="3"/>
      <c r="O72" s="3">
        <f>Data_Effect_m_L[[#This Row],[A_q]]</f>
        <v>517.33538910520599</v>
      </c>
      <c r="P72" s="3">
        <f ca="1">Data_Effect_m_L[[#This Row],[A_T]]*$C$12</f>
        <v>548.92698720984379</v>
      </c>
      <c r="Q72" s="3" t="str">
        <f>Data_Effect_m_L[[#This Row],[T / V]]</f>
        <v>Latent Heat Effect</v>
      </c>
      <c r="R72" s="3">
        <f ca="1">ABS((Estimates_Effect_m_L[[#This Row],[A_q predicted (b=0)]]-Estimates_Effect_m_L[[#This Row],[A_q measured]])/Estimates_Effect_m_L[[#This Row],[A_q measured]])*100</f>
        <v>6.106599078651719</v>
      </c>
      <c r="V72"/>
      <c r="W72"/>
      <c r="X72"/>
      <c r="Y72"/>
      <c r="Z72"/>
      <c r="AA72"/>
    </row>
    <row r="73" spans="1:27" s="2" customFormat="1" x14ac:dyDescent="0.3">
      <c r="A73" s="3" t="s">
        <v>38</v>
      </c>
      <c r="B73" s="3">
        <v>230</v>
      </c>
      <c r="C73" s="3" t="s">
        <v>9</v>
      </c>
      <c r="D73" s="3">
        <v>1</v>
      </c>
      <c r="E73" s="3">
        <v>3</v>
      </c>
      <c r="F73" s="3">
        <v>25.152330906320181</v>
      </c>
      <c r="G73" s="3">
        <v>531.35713106848095</v>
      </c>
      <c r="H73" s="3">
        <v>21.125562201273503</v>
      </c>
      <c r="I73" s="3" t="str">
        <f>IF(ROWS($I$23:I73)&lt;=n_T,"Training",IF(AND(Data_Effect_m_L[[#This Row],[PCM]]&lt;&gt;"RT8 (15mm)",Data_Effect_m_L[[#This Row],[PCM]]&lt;&gt;"RT18"),"Validation",IF(Data_Effect_m_L[[#This Row],[PCM]]="RT8 (15mm)",$B$7,$B$8)))</f>
        <v>Latent Heat Effect</v>
      </c>
      <c r="J73" s="3">
        <f ca="1">IF(OR(Data_Effect_m_L[[#This Row],[T / V]]="Training",Data_Effect_m_L[[#This Row],[T / V]]="Validation"),RAND(),IF(Data_Effect_m_L[[#This Row],[PCM]]="RT8 (15mm)",1.1,1.2))</f>
        <v>1.2</v>
      </c>
      <c r="K73" s="52"/>
      <c r="L73" s="52"/>
      <c r="M73" s="8"/>
      <c r="N73" s="3"/>
      <c r="O73" s="3">
        <f>Data_Effect_m_L[[#This Row],[A_q]]</f>
        <v>531.35713106848095</v>
      </c>
      <c r="P73" s="3">
        <f ca="1">Data_Effect_m_L[[#This Row],[A_T]]*$C$12</f>
        <v>505.01568231822426</v>
      </c>
      <c r="Q73" s="3" t="str">
        <f>Data_Effect_m_L[[#This Row],[T / V]]</f>
        <v>Latent Heat Effect</v>
      </c>
      <c r="R73" s="3">
        <f ca="1">ABS((Estimates_Effect_m_L[[#This Row],[A_q predicted (b=0)]]-Estimates_Effect_m_L[[#This Row],[A_q measured]])/Estimates_Effect_m_L[[#This Row],[A_q measured]])*100</f>
        <v>4.9573906531164669</v>
      </c>
      <c r="V73"/>
      <c r="W73"/>
      <c r="X73"/>
      <c r="Y73"/>
      <c r="Z73"/>
      <c r="AA73"/>
    </row>
    <row r="74" spans="1:27" s="2" customFormat="1" x14ac:dyDescent="0.3">
      <c r="A74" s="3" t="s">
        <v>38</v>
      </c>
      <c r="B74" s="3">
        <v>230</v>
      </c>
      <c r="C74" s="3" t="s">
        <v>10</v>
      </c>
      <c r="D74" s="3">
        <v>1</v>
      </c>
      <c r="E74" s="3">
        <v>1</v>
      </c>
      <c r="F74" s="3">
        <v>27.071048094113479</v>
      </c>
      <c r="G74" s="3">
        <v>497.44749309176234</v>
      </c>
      <c r="H74" s="3">
        <v>18.37562739951435</v>
      </c>
      <c r="I74" s="3" t="str">
        <f>IF(ROWS($I$23:I74)&lt;=n_T,"Training",IF(AND(Data_Effect_m_L[[#This Row],[PCM]]&lt;&gt;"RT8 (15mm)",Data_Effect_m_L[[#This Row],[PCM]]&lt;&gt;"RT18"),"Validation",IF(Data_Effect_m_L[[#This Row],[PCM]]="RT8 (15mm)",$B$7,$B$8)))</f>
        <v>Latent Heat Effect</v>
      </c>
      <c r="J74" s="3">
        <f ca="1">IF(OR(Data_Effect_m_L[[#This Row],[T / V]]="Training",Data_Effect_m_L[[#This Row],[T / V]]="Validation"),RAND(),IF(Data_Effect_m_L[[#This Row],[PCM]]="RT8 (15mm)",1.1,1.2))</f>
        <v>1.2</v>
      </c>
      <c r="K74" s="52"/>
      <c r="L74" s="52"/>
      <c r="M74" s="8"/>
      <c r="N74" s="3"/>
      <c r="O74" s="3">
        <f>Data_Effect_m_L[[#This Row],[A_q]]</f>
        <v>497.44749309176234</v>
      </c>
      <c r="P74" s="3">
        <f ca="1">Data_Effect_m_L[[#This Row],[A_T]]*$C$12</f>
        <v>543.54023391457974</v>
      </c>
      <c r="Q74" s="3" t="str">
        <f>Data_Effect_m_L[[#This Row],[T / V]]</f>
        <v>Latent Heat Effect</v>
      </c>
      <c r="R74" s="3">
        <f ca="1">ABS((Estimates_Effect_m_L[[#This Row],[A_q predicted (b=0)]]-Estimates_Effect_m_L[[#This Row],[A_q measured]])/Estimates_Effect_m_L[[#This Row],[A_q measured]])*100</f>
        <v>9.265850459178985</v>
      </c>
      <c r="V74"/>
      <c r="W74"/>
      <c r="X74"/>
      <c r="Y74"/>
      <c r="Z74"/>
      <c r="AA74"/>
    </row>
    <row r="75" spans="1:27" s="2" customFormat="1" x14ac:dyDescent="0.3">
      <c r="A75" s="3" t="s">
        <v>38</v>
      </c>
      <c r="B75" s="3">
        <v>230</v>
      </c>
      <c r="C75" s="3" t="s">
        <v>10</v>
      </c>
      <c r="D75" s="3">
        <v>1</v>
      </c>
      <c r="E75" s="3">
        <v>2</v>
      </c>
      <c r="F75" s="3">
        <v>22.284430163528512</v>
      </c>
      <c r="G75" s="3">
        <v>438.58518732334858</v>
      </c>
      <c r="H75" s="3">
        <v>19.681238609419442</v>
      </c>
      <c r="I75" s="3" t="str">
        <f>IF(ROWS($I$23:I75)&lt;=n_T,"Training",IF(AND(Data_Effect_m_L[[#This Row],[PCM]]&lt;&gt;"RT8 (15mm)",Data_Effect_m_L[[#This Row],[PCM]]&lt;&gt;"RT18"),"Validation",IF(Data_Effect_m_L[[#This Row],[PCM]]="RT8 (15mm)",$B$7,$B$8)))</f>
        <v>Latent Heat Effect</v>
      </c>
      <c r="J75" s="3">
        <f ca="1">IF(OR(Data_Effect_m_L[[#This Row],[T / V]]="Training",Data_Effect_m_L[[#This Row],[T / V]]="Validation"),RAND(),IF(Data_Effect_m_L[[#This Row],[PCM]]="RT8 (15mm)",1.1,1.2))</f>
        <v>1.2</v>
      </c>
      <c r="K75" s="52"/>
      <c r="L75" s="52"/>
      <c r="M75" s="8"/>
      <c r="N75" s="3"/>
      <c r="O75" s="3">
        <f>Data_Effect_m_L[[#This Row],[A_q]]</f>
        <v>438.58518732334858</v>
      </c>
      <c r="P75" s="3">
        <f ca="1">Data_Effect_m_L[[#This Row],[A_T]]*$C$12</f>
        <v>447.43315226022696</v>
      </c>
      <c r="Q75" s="3" t="str">
        <f>Data_Effect_m_L[[#This Row],[T / V]]</f>
        <v>Latent Heat Effect</v>
      </c>
      <c r="R75" s="3">
        <f ca="1">ABS((Estimates_Effect_m_L[[#This Row],[A_q predicted (b=0)]]-Estimates_Effect_m_L[[#This Row],[A_q measured]])/Estimates_Effect_m_L[[#This Row],[A_q measured]])*100</f>
        <v>2.0173879995530237</v>
      </c>
      <c r="V75"/>
      <c r="W75"/>
      <c r="X75"/>
      <c r="Y75"/>
      <c r="Z75"/>
      <c r="AA75"/>
    </row>
    <row r="76" spans="1:27" s="2" customFormat="1" x14ac:dyDescent="0.3">
      <c r="A76" s="3" t="s">
        <v>38</v>
      </c>
      <c r="B76" s="3">
        <v>230</v>
      </c>
      <c r="C76" s="3" t="s">
        <v>10</v>
      </c>
      <c r="D76" s="3">
        <v>1</v>
      </c>
      <c r="E76" s="3">
        <v>3</v>
      </c>
      <c r="F76" s="3">
        <v>26.999051764701608</v>
      </c>
      <c r="G76" s="3">
        <v>498.93304243764453</v>
      </c>
      <c r="H76" s="3">
        <v>18.479650573874839</v>
      </c>
      <c r="I76" s="3" t="str">
        <f>IF(ROWS($I$23:I76)&lt;=n_T,"Training",IF(AND(Data_Effect_m_L[[#This Row],[PCM]]&lt;&gt;"RT8 (15mm)",Data_Effect_m_L[[#This Row],[PCM]]&lt;&gt;"RT18"),"Validation",IF(Data_Effect_m_L[[#This Row],[PCM]]="RT8 (15mm)",$B$7,$B$8)))</f>
        <v>Latent Heat Effect</v>
      </c>
      <c r="J76" s="3">
        <f ca="1">IF(OR(Data_Effect_m_L[[#This Row],[T / V]]="Training",Data_Effect_m_L[[#This Row],[T / V]]="Validation"),RAND(),IF(Data_Effect_m_L[[#This Row],[PCM]]="RT8 (15mm)",1.1,1.2))</f>
        <v>1.2</v>
      </c>
      <c r="K76" s="52"/>
      <c r="L76" s="52"/>
      <c r="M76" s="8"/>
      <c r="N76" s="3"/>
      <c r="O76" s="3">
        <f>Data_Effect_m_L[[#This Row],[A_q]]</f>
        <v>498.93304243764453</v>
      </c>
      <c r="P76" s="3">
        <f ca="1">Data_Effect_m_L[[#This Row],[A_T]]*$C$12</f>
        <v>542.0946710537155</v>
      </c>
      <c r="Q76" s="3" t="str">
        <f>Data_Effect_m_L[[#This Row],[T / V]]</f>
        <v>Latent Heat Effect</v>
      </c>
      <c r="R76" s="3">
        <f ca="1">ABS((Estimates_Effect_m_L[[#This Row],[A_q predicted (b=0)]]-Estimates_Effect_m_L[[#This Row],[A_q measured]])/Estimates_Effect_m_L[[#This Row],[A_q measured]])*100</f>
        <v>8.6507857658004692</v>
      </c>
      <c r="V76"/>
      <c r="W76"/>
      <c r="X76"/>
      <c r="Y76"/>
      <c r="Z76"/>
      <c r="AA76"/>
    </row>
    <row r="77" spans="1:27" s="2" customFormat="1" x14ac:dyDescent="0.3">
      <c r="A77" s="3" t="s">
        <v>38</v>
      </c>
      <c r="B77" s="3">
        <v>230</v>
      </c>
      <c r="C77" s="3" t="s">
        <v>9</v>
      </c>
      <c r="D77" s="3">
        <v>0.5</v>
      </c>
      <c r="E77" s="3">
        <v>1</v>
      </c>
      <c r="F77" s="3">
        <v>25.133748384813632</v>
      </c>
      <c r="G77" s="3">
        <v>559.05236689916728</v>
      </c>
      <c r="H77" s="3">
        <v>22.243095551834166</v>
      </c>
      <c r="I77" s="3" t="str">
        <f>IF(ROWS($I$23:I77)&lt;=n_T,"Training",IF(AND(Data_Effect_m_L[[#This Row],[PCM]]&lt;&gt;"RT8 (15mm)",Data_Effect_m_L[[#This Row],[PCM]]&lt;&gt;"RT18"),"Validation",IF(Data_Effect_m_L[[#This Row],[PCM]]="RT8 (15mm)",$B$7,$B$8)))</f>
        <v>Latent Heat Effect</v>
      </c>
      <c r="J77" s="3">
        <f ca="1">IF(OR(Data_Effect_m_L[[#This Row],[T / V]]="Training",Data_Effect_m_L[[#This Row],[T / V]]="Validation"),RAND(),IF(Data_Effect_m_L[[#This Row],[PCM]]="RT8 (15mm)",1.1,1.2))</f>
        <v>1.2</v>
      </c>
      <c r="K77" s="52"/>
      <c r="L77" s="52"/>
      <c r="M77" s="8"/>
      <c r="N77" s="3"/>
      <c r="O77" s="3">
        <f>Data_Effect_m_L[[#This Row],[A_q]]</f>
        <v>559.05236689916728</v>
      </c>
      <c r="P77" s="3">
        <f ca="1">Data_Effect_m_L[[#This Row],[A_T]]*$C$12</f>
        <v>504.64257714507846</v>
      </c>
      <c r="Q77" s="3" t="str">
        <f>Data_Effect_m_L[[#This Row],[T / V]]</f>
        <v>Latent Heat Effect</v>
      </c>
      <c r="R77" s="3">
        <f ca="1">ABS((Estimates_Effect_m_L[[#This Row],[A_q predicted (b=0)]]-Estimates_Effect_m_L[[#This Row],[A_q measured]])/Estimates_Effect_m_L[[#This Row],[A_q measured]])*100</f>
        <v>9.7325032457831213</v>
      </c>
      <c r="V77"/>
      <c r="W77"/>
      <c r="X77"/>
      <c r="Y77"/>
      <c r="Z77"/>
      <c r="AA77"/>
    </row>
    <row r="78" spans="1:27" s="2" customFormat="1" x14ac:dyDescent="0.3">
      <c r="A78" s="3" t="s">
        <v>38</v>
      </c>
      <c r="B78" s="3">
        <v>230</v>
      </c>
      <c r="C78" s="3" t="s">
        <v>9</v>
      </c>
      <c r="D78" s="3">
        <v>0.5</v>
      </c>
      <c r="E78" s="3">
        <v>2</v>
      </c>
      <c r="F78" s="3">
        <v>23.56542752499842</v>
      </c>
      <c r="G78" s="3">
        <v>527.06882303249881</v>
      </c>
      <c r="H78" s="3">
        <v>22.366189727446248</v>
      </c>
      <c r="I78" s="3" t="str">
        <f>IF(ROWS($I$23:I78)&lt;=n_T,"Training",IF(AND(Data_Effect_m_L[[#This Row],[PCM]]&lt;&gt;"RT8 (15mm)",Data_Effect_m_L[[#This Row],[PCM]]&lt;&gt;"RT18"),"Validation",IF(Data_Effect_m_L[[#This Row],[PCM]]="RT8 (15mm)",$B$7,$B$8)))</f>
        <v>Latent Heat Effect</v>
      </c>
      <c r="J78" s="3">
        <f ca="1">IF(OR(Data_Effect_m_L[[#This Row],[T / V]]="Training",Data_Effect_m_L[[#This Row],[T / V]]="Validation"),RAND(),IF(Data_Effect_m_L[[#This Row],[PCM]]="RT8 (15mm)",1.1,1.2))</f>
        <v>1.2</v>
      </c>
      <c r="K78" s="52"/>
      <c r="L78" s="52"/>
      <c r="M78" s="8"/>
      <c r="N78" s="3"/>
      <c r="O78" s="3">
        <f>Data_Effect_m_L[[#This Row],[A_q]]</f>
        <v>527.06882303249881</v>
      </c>
      <c r="P78" s="3">
        <f ca="1">Data_Effect_m_L[[#This Row],[A_T]]*$C$12</f>
        <v>473.15338307939186</v>
      </c>
      <c r="Q78" s="3" t="str">
        <f>Data_Effect_m_L[[#This Row],[T / V]]</f>
        <v>Latent Heat Effect</v>
      </c>
      <c r="R78" s="3">
        <f ca="1">ABS((Estimates_Effect_m_L[[#This Row],[A_q predicted (b=0)]]-Estimates_Effect_m_L[[#This Row],[A_q measured]])/Estimates_Effect_m_L[[#This Row],[A_q measured]])*100</f>
        <v>10.2292978823721</v>
      </c>
      <c r="V78"/>
      <c r="W78"/>
      <c r="X78"/>
      <c r="Y78"/>
      <c r="Z78"/>
      <c r="AA78"/>
    </row>
    <row r="79" spans="1:27" s="2" customFormat="1" x14ac:dyDescent="0.3">
      <c r="A79" s="3" t="s">
        <v>38</v>
      </c>
      <c r="B79" s="3">
        <v>230</v>
      </c>
      <c r="C79" s="3" t="s">
        <v>9</v>
      </c>
      <c r="D79" s="3">
        <v>0.5</v>
      </c>
      <c r="E79" s="3">
        <v>3</v>
      </c>
      <c r="F79" s="3">
        <v>24.450227664000003</v>
      </c>
      <c r="G79" s="3">
        <v>552.97144175999995</v>
      </c>
      <c r="H79" s="3">
        <v>22.6162083</v>
      </c>
      <c r="I79" s="3" t="str">
        <f>IF(ROWS($I$23:I79)&lt;=n_T,"Training",IF(AND(Data_Effect_m_L[[#This Row],[PCM]]&lt;&gt;"RT8 (15mm)",Data_Effect_m_L[[#This Row],[PCM]]&lt;&gt;"RT18"),"Validation",IF(Data_Effect_m_L[[#This Row],[PCM]]="RT8 (15mm)",$B$7,$B$8)))</f>
        <v>Latent Heat Effect</v>
      </c>
      <c r="J79" s="3">
        <f ca="1">IF(OR(Data_Effect_m_L[[#This Row],[T / V]]="Training",Data_Effect_m_L[[#This Row],[T / V]]="Validation"),RAND(),IF(Data_Effect_m_L[[#This Row],[PCM]]="RT8 (15mm)",1.1,1.2))</f>
        <v>1.2</v>
      </c>
      <c r="K79" s="52"/>
      <c r="L79" s="52"/>
      <c r="M79" s="8"/>
      <c r="N79" s="3"/>
      <c r="O79" s="3">
        <f>Data_Effect_m_L[[#This Row],[A_q]]</f>
        <v>552.97144175999995</v>
      </c>
      <c r="P79" s="3">
        <f ca="1">Data_Effect_m_L[[#This Row],[A_T]]*$C$12</f>
        <v>490.9186529296253</v>
      </c>
      <c r="Q79" s="3" t="str">
        <f>Data_Effect_m_L[[#This Row],[T / V]]</f>
        <v>Latent Heat Effect</v>
      </c>
      <c r="R79" s="3">
        <f ca="1">ABS((Estimates_Effect_m_L[[#This Row],[A_q predicted (b=0)]]-Estimates_Effect_m_L[[#This Row],[A_q measured]])/Estimates_Effect_m_L[[#This Row],[A_q measured]])*100</f>
        <v>11.22169865280434</v>
      </c>
      <c r="V79"/>
      <c r="W79"/>
      <c r="X79"/>
      <c r="Y79"/>
      <c r="Z79"/>
      <c r="AA79"/>
    </row>
    <row r="80" spans="1:27" s="2" customFormat="1" x14ac:dyDescent="0.3">
      <c r="A80" s="3" t="s">
        <v>38</v>
      </c>
      <c r="B80" s="3">
        <v>230</v>
      </c>
      <c r="C80" s="3" t="s">
        <v>10</v>
      </c>
      <c r="D80" s="3">
        <v>0.5</v>
      </c>
      <c r="E80" s="3">
        <v>1</v>
      </c>
      <c r="F80" s="3">
        <v>22.067685978047887</v>
      </c>
      <c r="G80" s="3">
        <v>530.44121365596561</v>
      </c>
      <c r="H80" s="3">
        <v>24.037011138532094</v>
      </c>
      <c r="I80" s="3" t="str">
        <f>IF(ROWS($I$23:I80)&lt;=n_T,"Training",IF(AND(Data_Effect_m_L[[#This Row],[PCM]]&lt;&gt;"RT8 (15mm)",Data_Effect_m_L[[#This Row],[PCM]]&lt;&gt;"RT18"),"Validation",IF(Data_Effect_m_L[[#This Row],[PCM]]="RT8 (15mm)",$B$7,$B$8)))</f>
        <v>Latent Heat Effect</v>
      </c>
      <c r="J80" s="3">
        <f ca="1">IF(OR(Data_Effect_m_L[[#This Row],[T / V]]="Training",Data_Effect_m_L[[#This Row],[T / V]]="Validation"),RAND(),IF(Data_Effect_m_L[[#This Row],[PCM]]="RT8 (15mm)",1.1,1.2))</f>
        <v>1.2</v>
      </c>
      <c r="K80" s="52"/>
      <c r="L80" s="52"/>
      <c r="M80" s="8"/>
      <c r="N80" s="3"/>
      <c r="O80" s="3">
        <f>Data_Effect_m_L[[#This Row],[A_q]]</f>
        <v>530.44121365596561</v>
      </c>
      <c r="P80" s="3">
        <f ca="1">Data_Effect_m_L[[#This Row],[A_T]]*$C$12</f>
        <v>443.0813006116984</v>
      </c>
      <c r="Q80" s="3" t="str">
        <f>Data_Effect_m_L[[#This Row],[T / V]]</f>
        <v>Latent Heat Effect</v>
      </c>
      <c r="R80" s="3">
        <f ca="1">ABS((Estimates_Effect_m_L[[#This Row],[A_q predicted (b=0)]]-Estimates_Effect_m_L[[#This Row],[A_q measured]])/Estimates_Effect_m_L[[#This Row],[A_q measured]])*100</f>
        <v>16.469292127992009</v>
      </c>
      <c r="V80"/>
      <c r="W80"/>
      <c r="X80"/>
      <c r="Y80"/>
      <c r="Z80"/>
      <c r="AA80"/>
    </row>
    <row r="81" spans="1:27" s="2" customFormat="1" x14ac:dyDescent="0.3">
      <c r="A81" s="3" t="s">
        <v>38</v>
      </c>
      <c r="B81" s="3">
        <v>230</v>
      </c>
      <c r="C81" s="3" t="s">
        <v>10</v>
      </c>
      <c r="D81" s="3">
        <v>0.5</v>
      </c>
      <c r="E81" s="3">
        <v>2</v>
      </c>
      <c r="F81" s="3">
        <v>22.836000000008426</v>
      </c>
      <c r="G81" s="3">
        <v>554.20560000000489</v>
      </c>
      <c r="H81" s="3">
        <v>24.268943772981274</v>
      </c>
      <c r="I81" s="3" t="str">
        <f>IF(ROWS($I$23:I81)&lt;=n_T,"Training",IF(AND(Data_Effect_m_L[[#This Row],[PCM]]&lt;&gt;"RT8 (15mm)",Data_Effect_m_L[[#This Row],[PCM]]&lt;&gt;"RT18"),"Validation",IF(Data_Effect_m_L[[#This Row],[PCM]]="RT8 (15mm)",$B$7,$B$8)))</f>
        <v>Latent Heat Effect</v>
      </c>
      <c r="J81" s="3">
        <f ca="1">IF(OR(Data_Effect_m_L[[#This Row],[T / V]]="Training",Data_Effect_m_L[[#This Row],[T / V]]="Validation"),RAND(),IF(Data_Effect_m_L[[#This Row],[PCM]]="RT8 (15mm)",1.1,1.2))</f>
        <v>1.2</v>
      </c>
      <c r="K81" s="52"/>
      <c r="L81" s="52"/>
      <c r="M81" s="8"/>
      <c r="N81" s="3"/>
      <c r="O81" s="3">
        <f>Data_Effect_m_L[[#This Row],[A_q]]</f>
        <v>554.20560000000489</v>
      </c>
      <c r="P81" s="3">
        <f ca="1">Data_Effect_m_L[[#This Row],[A_T]]*$C$12</f>
        <v>458.50772894075487</v>
      </c>
      <c r="Q81" s="3" t="str">
        <f>Data_Effect_m_L[[#This Row],[T / V]]</f>
        <v>Latent Heat Effect</v>
      </c>
      <c r="R81" s="3">
        <f ca="1">ABS((Estimates_Effect_m_L[[#This Row],[A_q predicted (b=0)]]-Estimates_Effect_m_L[[#This Row],[A_q measured]])/Estimates_Effect_m_L[[#This Row],[A_q measured]])*100</f>
        <v>17.267575618010568</v>
      </c>
      <c r="V81"/>
      <c r="W81"/>
      <c r="X81"/>
      <c r="Y81"/>
      <c r="Z81"/>
      <c r="AA81"/>
    </row>
    <row r="82" spans="1:27" x14ac:dyDescent="0.3">
      <c r="A82" s="3" t="s">
        <v>38</v>
      </c>
      <c r="B82" s="3">
        <v>230</v>
      </c>
      <c r="C82" s="3" t="s">
        <v>10</v>
      </c>
      <c r="D82" s="3">
        <v>0.5</v>
      </c>
      <c r="E82" s="3">
        <v>3</v>
      </c>
      <c r="F82" s="3">
        <v>22.422000000000001</v>
      </c>
      <c r="G82" s="3">
        <v>526.93979999999988</v>
      </c>
      <c r="H82" s="3">
        <v>23.50101686</v>
      </c>
      <c r="I82" s="3" t="str">
        <f>IF(ROWS($I$23:I82)&lt;=n_T,"Training",IF(AND(Data_Effect_m_L[[#This Row],[PCM]]&lt;&gt;"RT8 (15mm)",Data_Effect_m_L[[#This Row],[PCM]]&lt;&gt;"RT18"),"Validation",IF(Data_Effect_m_L[[#This Row],[PCM]]="RT8 (15mm)",$B$7,$B$8)))</f>
        <v>Latent Heat Effect</v>
      </c>
      <c r="J82" s="3">
        <f ca="1">IF(OR(Data_Effect_m_L[[#This Row],[T / V]]="Training",Data_Effect_m_L[[#This Row],[T / V]]="Validation"),RAND(),IF(Data_Effect_m_L[[#This Row],[PCM]]="RT8 (15mm)",1.1,1.2))</f>
        <v>1.2</v>
      </c>
      <c r="K82" s="52"/>
      <c r="L82" s="52"/>
      <c r="O82" s="3">
        <f>Data_Effect_m_L[[#This Row],[A_q]]</f>
        <v>526.93979999999988</v>
      </c>
      <c r="P82" s="3">
        <f ca="1">Data_Effect_m_L[[#This Row],[A_T]]*$C$12</f>
        <v>450.19531872069592</v>
      </c>
      <c r="Q82" s="3" t="str">
        <f>Data_Effect_m_L[[#This Row],[T / V]]</f>
        <v>Latent Heat Effect</v>
      </c>
      <c r="R82" s="3">
        <f ca="1">ABS((Estimates_Effect_m_L[[#This Row],[A_q predicted (b=0)]]-Estimates_Effect_m_L[[#This Row],[A_q measured]])/Estimates_Effect_m_L[[#This Row],[A_q measured]])*100</f>
        <v>14.56418385540511</v>
      </c>
    </row>
    <row r="83" spans="1:27" x14ac:dyDescent="0.3">
      <c r="K83" s="52"/>
      <c r="L83" s="52"/>
    </row>
    <row r="84" spans="1:27" x14ac:dyDescent="0.3">
      <c r="K84" s="52"/>
      <c r="L84" s="52"/>
    </row>
    <row r="85" spans="1:27" x14ac:dyDescent="0.3">
      <c r="A85" s="55" t="str" cm="1">
        <f t="array" aca="1" ref="A85:J109" ca="1">_xlfn._xlws.FILTER(Data_Effect_m_L[],Data_Effect_m_L[T / V]="Training")</f>
        <v>RT11</v>
      </c>
      <c r="B85" s="65">
        <f ca="1"/>
        <v>170</v>
      </c>
      <c r="C85" s="65" t="str">
        <f ca="1"/>
        <v>Solidification</v>
      </c>
      <c r="D85" s="65">
        <f ca="1"/>
        <v>1</v>
      </c>
      <c r="E85" s="65">
        <f ca="1"/>
        <v>2</v>
      </c>
      <c r="F85" s="65">
        <f ca="1"/>
        <v>12.414593957682301</v>
      </c>
      <c r="G85" s="65">
        <f ca="1"/>
        <v>251.89549266775174</v>
      </c>
      <c r="H85" s="65">
        <f ca="1"/>
        <v>20.290272362220573</v>
      </c>
      <c r="I85" s="65" t="str">
        <f ca="1"/>
        <v>Training</v>
      </c>
      <c r="J85" s="66">
        <f ca="1"/>
        <v>0.7861317727407473</v>
      </c>
      <c r="K85" s="21">
        <f t="shared" ref="K85" ca="1" si="0">G85-$C$12*F85</f>
        <v>2.6317301324377809</v>
      </c>
      <c r="L85" s="21">
        <f t="shared" ref="L85:L109" ca="1" si="1">G85-AVERAGE($G$85:$G$110)</f>
        <v>18.179395746597237</v>
      </c>
      <c r="M85" s="54"/>
      <c r="N85" s="53"/>
      <c r="O85" s="55" cm="1">
        <f t="array" aca="1" ref="O85:R109" ca="1">_xlfn._xlws.FILTER(Estimates_Effect_m_L[],Estimates_Effect_m_L[T / V]="Training")</f>
        <v>251.89549266775174</v>
      </c>
      <c r="P85" s="65">
        <f ca="1"/>
        <v>249.26376253531396</v>
      </c>
      <c r="Q85" s="65" t="str">
        <f ca="1"/>
        <v>Training</v>
      </c>
      <c r="R85" s="66">
        <f ca="1"/>
        <v>1.0447706326802018</v>
      </c>
    </row>
    <row r="86" spans="1:27" x14ac:dyDescent="0.3">
      <c r="A86" s="67" t="str">
        <f ca="1"/>
        <v>RT11</v>
      </c>
      <c r="B86" s="53">
        <f ca="1"/>
        <v>170</v>
      </c>
      <c r="C86" s="53" t="str">
        <f ca="1"/>
        <v>Solidification</v>
      </c>
      <c r="D86" s="53">
        <f ca="1"/>
        <v>0.5</v>
      </c>
      <c r="E86" s="53">
        <f ca="1"/>
        <v>2</v>
      </c>
      <c r="F86" s="53">
        <f ca="1"/>
        <v>11.776659612500808</v>
      </c>
      <c r="G86" s="53">
        <f ca="1"/>
        <v>233.47361453749977</v>
      </c>
      <c r="H86" s="53">
        <f ca="1"/>
        <v>19.825113590756231</v>
      </c>
      <c r="I86" s="53" t="str">
        <f ca="1"/>
        <v>Training</v>
      </c>
      <c r="J86" s="68">
        <f ca="1"/>
        <v>0.62962619548709398</v>
      </c>
      <c r="K86" s="21">
        <f t="shared" ref="K86:K109" ca="1" si="2">G86-$C$12*F86</f>
        <v>-2.9815200497336889</v>
      </c>
      <c r="L86" s="21">
        <f t="shared" ca="1" si="1"/>
        <v>-0.24248238365473185</v>
      </c>
      <c r="M86" s="54"/>
      <c r="N86" s="53"/>
      <c r="O86" s="67">
        <f ca="1"/>
        <v>233.47361453749977</v>
      </c>
      <c r="P86" s="53">
        <f ca="1"/>
        <v>236.45513458723346</v>
      </c>
      <c r="Q86" s="53" t="str">
        <f ca="1"/>
        <v>Training</v>
      </c>
      <c r="R86" s="68">
        <f ca="1"/>
        <v>1.2770265520752482</v>
      </c>
    </row>
    <row r="87" spans="1:27" x14ac:dyDescent="0.3">
      <c r="A87" s="67" t="str">
        <f ca="1"/>
        <v>RT8</v>
      </c>
      <c r="B87" s="53">
        <f ca="1"/>
        <v>170</v>
      </c>
      <c r="C87" s="53" t="str">
        <f ca="1"/>
        <v>Solidification</v>
      </c>
      <c r="D87" s="53">
        <f ca="1"/>
        <v>0.5</v>
      </c>
      <c r="E87" s="53">
        <f ca="1"/>
        <v>1</v>
      </c>
      <c r="F87" s="53">
        <f ca="1"/>
        <v>9.9350536485328842</v>
      </c>
      <c r="G87" s="53">
        <f ca="1"/>
        <v>186.1133247973641</v>
      </c>
      <c r="H87" s="53">
        <f ca="1"/>
        <v>18.732996456928802</v>
      </c>
      <c r="I87" s="53" t="str">
        <f ca="1"/>
        <v>Training</v>
      </c>
      <c r="J87" s="68">
        <f ca="1"/>
        <v>0.92617854625756169</v>
      </c>
      <c r="K87" s="21">
        <f t="shared" ca="1" si="2"/>
        <v>-13.365519364997624</v>
      </c>
      <c r="L87" s="21">
        <f t="shared" ca="1" si="1"/>
        <v>-47.602772123790402</v>
      </c>
      <c r="M87" s="54"/>
      <c r="N87" s="53"/>
      <c r="O87" s="67">
        <f ca="1"/>
        <v>186.1133247973641</v>
      </c>
      <c r="P87" s="53">
        <f ca="1"/>
        <v>199.47884416236172</v>
      </c>
      <c r="Q87" s="53" t="str">
        <f ca="1"/>
        <v>Training</v>
      </c>
      <c r="R87" s="68">
        <f ca="1"/>
        <v>7.1813876731016943</v>
      </c>
    </row>
    <row r="88" spans="1:27" x14ac:dyDescent="0.3">
      <c r="A88" s="67" t="str">
        <f ca="1"/>
        <v>RT8</v>
      </c>
      <c r="B88" s="53">
        <f ca="1"/>
        <v>170</v>
      </c>
      <c r="C88" s="53" t="str">
        <f ca="1"/>
        <v>Melting</v>
      </c>
      <c r="D88" s="53">
        <f ca="1"/>
        <v>1</v>
      </c>
      <c r="E88" s="53">
        <f ca="1"/>
        <v>2</v>
      </c>
      <c r="F88" s="53">
        <f ca="1"/>
        <v>9.3620263278695397</v>
      </c>
      <c r="G88" s="53">
        <f ca="1"/>
        <v>159.24805774971134</v>
      </c>
      <c r="H88" s="53">
        <f ca="1"/>
        <v>17.009998922525028</v>
      </c>
      <c r="I88" s="53" t="str">
        <f ca="1"/>
        <v>Training</v>
      </c>
      <c r="J88" s="68">
        <f ca="1"/>
        <v>0.74122014790109025</v>
      </c>
      <c r="K88" s="21">
        <f t="shared" ca="1" si="2"/>
        <v>-28.725380237389459</v>
      </c>
      <c r="L88" s="21">
        <f t="shared" ca="1" si="1"/>
        <v>-74.468039171443166</v>
      </c>
      <c r="M88" s="54"/>
      <c r="N88" s="53"/>
      <c r="O88" s="67">
        <f ca="1"/>
        <v>159.24805774971134</v>
      </c>
      <c r="P88" s="53">
        <f ca="1"/>
        <v>187.97343798710079</v>
      </c>
      <c r="Q88" s="53" t="str">
        <f ca="1"/>
        <v>Training</v>
      </c>
      <c r="R88" s="68">
        <f ca="1"/>
        <v>18.038135374019358</v>
      </c>
    </row>
    <row r="89" spans="1:27" x14ac:dyDescent="0.3">
      <c r="A89" s="67" t="str">
        <f ca="1"/>
        <v>RT11</v>
      </c>
      <c r="B89" s="53">
        <f ca="1"/>
        <v>170</v>
      </c>
      <c r="C89" s="53" t="str">
        <f ca="1"/>
        <v>Solidification</v>
      </c>
      <c r="D89" s="53">
        <f ca="1"/>
        <v>1</v>
      </c>
      <c r="E89" s="53">
        <f ca="1"/>
        <v>3</v>
      </c>
      <c r="F89" s="53">
        <f ca="1"/>
        <v>12.285332570093937</v>
      </c>
      <c r="G89" s="53">
        <f ca="1"/>
        <v>256.57732728687955</v>
      </c>
      <c r="H89" s="53">
        <f ca="1"/>
        <v>20.884849947934107</v>
      </c>
      <c r="I89" s="53" t="str">
        <f ca="1"/>
        <v>Training</v>
      </c>
      <c r="J89" s="68">
        <f ca="1"/>
        <v>0.84665512092458939</v>
      </c>
      <c r="K89" s="21">
        <f t="shared" ca="1" si="2"/>
        <v>9.9089118028377072</v>
      </c>
      <c r="L89" s="21">
        <f t="shared" ca="1" si="1"/>
        <v>22.861230365725049</v>
      </c>
      <c r="M89" s="54"/>
      <c r="N89" s="53"/>
      <c r="O89" s="67">
        <f ca="1"/>
        <v>256.57732728687955</v>
      </c>
      <c r="P89" s="53">
        <f ca="1"/>
        <v>246.66841548404184</v>
      </c>
      <c r="Q89" s="53" t="str">
        <f ca="1"/>
        <v>Training</v>
      </c>
      <c r="R89" s="68">
        <f ca="1"/>
        <v>3.8619592415344384</v>
      </c>
    </row>
    <row r="90" spans="1:27" x14ac:dyDescent="0.3">
      <c r="A90" s="67" t="str">
        <f ca="1"/>
        <v>RT24</v>
      </c>
      <c r="B90" s="53">
        <f ca="1"/>
        <v>170</v>
      </c>
      <c r="C90" s="53" t="str">
        <f ca="1"/>
        <v>Melting</v>
      </c>
      <c r="D90" s="53">
        <f ca="1"/>
        <v>1</v>
      </c>
      <c r="E90" s="53">
        <f ca="1"/>
        <v>3</v>
      </c>
      <c r="F90" s="53">
        <f ca="1"/>
        <v>7.7994267951314544</v>
      </c>
      <c r="G90" s="53">
        <f ca="1"/>
        <v>182.63889794765294</v>
      </c>
      <c r="H90" s="53">
        <f ca="1"/>
        <v>23.416964187888716</v>
      </c>
      <c r="I90" s="53" t="str">
        <f ca="1"/>
        <v>Training</v>
      </c>
      <c r="J90" s="68">
        <f ca="1"/>
        <v>0.45116400123298017</v>
      </c>
      <c r="K90" s="21">
        <f t="shared" ca="1" si="2"/>
        <v>26.039779587428995</v>
      </c>
      <c r="L90" s="21">
        <f t="shared" ca="1" si="1"/>
        <v>-51.077198973501567</v>
      </c>
      <c r="M90" s="54"/>
      <c r="N90" s="53"/>
      <c r="O90" s="67">
        <f ca="1"/>
        <v>182.63889794765294</v>
      </c>
      <c r="P90" s="53">
        <f ca="1"/>
        <v>156.59911836022394</v>
      </c>
      <c r="Q90" s="53" t="str">
        <f ca="1"/>
        <v>Training</v>
      </c>
      <c r="R90" s="68">
        <f ca="1"/>
        <v>14.257521196219871</v>
      </c>
    </row>
    <row r="91" spans="1:27" x14ac:dyDescent="0.3">
      <c r="A91" s="67" t="str">
        <f ca="1"/>
        <v>RT8</v>
      </c>
      <c r="B91" s="53">
        <f ca="1"/>
        <v>170</v>
      </c>
      <c r="C91" s="53" t="str">
        <f ca="1"/>
        <v>Melting</v>
      </c>
      <c r="D91" s="53">
        <f ca="1"/>
        <v>1</v>
      </c>
      <c r="E91" s="53">
        <f ca="1"/>
        <v>3</v>
      </c>
      <c r="F91" s="53">
        <f ca="1"/>
        <v>7.872829771852226</v>
      </c>
      <c r="G91" s="53">
        <f ca="1"/>
        <v>156.15565369073173</v>
      </c>
      <c r="H91" s="53">
        <f ca="1"/>
        <v>19.834755509262493</v>
      </c>
      <c r="I91" s="53" t="str">
        <f ca="1"/>
        <v>Training</v>
      </c>
      <c r="J91" s="68">
        <f ca="1"/>
        <v>0.96763062485229467</v>
      </c>
      <c r="K91" s="21">
        <f t="shared" ca="1" si="2"/>
        <v>-1.9172705967001207</v>
      </c>
      <c r="L91" s="21">
        <f t="shared" ca="1" si="1"/>
        <v>-77.560443230422777</v>
      </c>
      <c r="M91" s="54"/>
      <c r="N91" s="53"/>
      <c r="O91" s="67">
        <f ca="1"/>
        <v>156.15565369073173</v>
      </c>
      <c r="P91" s="53">
        <f ca="1"/>
        <v>158.07292428743185</v>
      </c>
      <c r="Q91" s="53" t="str">
        <f ca="1"/>
        <v>Training</v>
      </c>
      <c r="R91" s="68">
        <f ca="1"/>
        <v>1.2277945443443885</v>
      </c>
    </row>
    <row r="92" spans="1:27" x14ac:dyDescent="0.3">
      <c r="A92" s="67" t="str">
        <f ca="1"/>
        <v>RT24</v>
      </c>
      <c r="B92" s="53">
        <f ca="1"/>
        <v>170</v>
      </c>
      <c r="C92" s="53" t="str">
        <f ca="1"/>
        <v>Melting</v>
      </c>
      <c r="D92" s="53">
        <f ca="1"/>
        <v>1</v>
      </c>
      <c r="E92" s="53">
        <f ca="1"/>
        <v>1</v>
      </c>
      <c r="F92" s="53">
        <f ca="1"/>
        <v>13.042056671598727</v>
      </c>
      <c r="G92" s="53">
        <f ca="1"/>
        <v>266.10625346834951</v>
      </c>
      <c r="H92" s="53">
        <f ca="1"/>
        <v>20.403703201799502</v>
      </c>
      <c r="I92" s="53" t="str">
        <f ca="1"/>
        <v>Training</v>
      </c>
      <c r="J92" s="68">
        <f ca="1"/>
        <v>0.86792271144284416</v>
      </c>
      <c r="K92" s="21">
        <f t="shared" ca="1" si="2"/>
        <v>4.2441153877247757</v>
      </c>
      <c r="L92" s="21">
        <f t="shared" ca="1" si="1"/>
        <v>32.390156547195005</v>
      </c>
      <c r="M92" s="54"/>
      <c r="N92" s="53"/>
      <c r="O92" s="67">
        <f ca="1"/>
        <v>266.10625346834951</v>
      </c>
      <c r="P92" s="53">
        <f ca="1"/>
        <v>261.86213808062473</v>
      </c>
      <c r="Q92" s="53" t="str">
        <f ca="1"/>
        <v>Training</v>
      </c>
      <c r="R92" s="68">
        <f ca="1"/>
        <v>1.5948950212211259</v>
      </c>
    </row>
    <row r="93" spans="1:27" x14ac:dyDescent="0.3">
      <c r="A93" s="67" t="str">
        <f ca="1"/>
        <v>RT8</v>
      </c>
      <c r="B93" s="53">
        <f ca="1"/>
        <v>170</v>
      </c>
      <c r="C93" s="53" t="str">
        <f ca="1"/>
        <v>Melting</v>
      </c>
      <c r="D93" s="53">
        <f ca="1"/>
        <v>0.5</v>
      </c>
      <c r="E93" s="53">
        <f ca="1"/>
        <v>1</v>
      </c>
      <c r="F93" s="53">
        <f ca="1"/>
        <v>8.0972999999946342</v>
      </c>
      <c r="G93" s="53">
        <f ca="1"/>
        <v>166.90619999999905</v>
      </c>
      <c r="H93" s="53">
        <f ca="1"/>
        <v>20.612574561904541</v>
      </c>
      <c r="I93" s="53" t="str">
        <f ca="1"/>
        <v>Training</v>
      </c>
      <c r="J93" s="68">
        <f ca="1"/>
        <v>0.46135075966469796</v>
      </c>
      <c r="K93" s="21">
        <f t="shared" ca="1" si="2"/>
        <v>4.3262983732630005</v>
      </c>
      <c r="L93" s="21">
        <f t="shared" ca="1" si="1"/>
        <v>-66.809896921155456</v>
      </c>
      <c r="M93" s="54"/>
      <c r="N93" s="53"/>
      <c r="O93" s="67">
        <f ca="1"/>
        <v>166.90619999999905</v>
      </c>
      <c r="P93" s="53">
        <f ca="1"/>
        <v>162.57990162673605</v>
      </c>
      <c r="Q93" s="53" t="str">
        <f ca="1"/>
        <v>Training</v>
      </c>
      <c r="R93" s="68">
        <f ca="1"/>
        <v>2.5920537243451864</v>
      </c>
    </row>
    <row r="94" spans="1:27" x14ac:dyDescent="0.3">
      <c r="A94" s="67" t="str">
        <f ca="1"/>
        <v>RT24</v>
      </c>
      <c r="B94" s="53">
        <f ca="1"/>
        <v>170</v>
      </c>
      <c r="C94" s="53" t="str">
        <f ca="1"/>
        <v>Solidification</v>
      </c>
      <c r="D94" s="53">
        <f ca="1"/>
        <v>1</v>
      </c>
      <c r="E94" s="53">
        <f ca="1"/>
        <v>3</v>
      </c>
      <c r="F94" s="53">
        <f ca="1"/>
        <v>17.283599999999968</v>
      </c>
      <c r="G94" s="53">
        <f ca="1"/>
        <v>360.78210000000007</v>
      </c>
      <c r="H94" s="53">
        <f ca="1"/>
        <v>20.874244948969007</v>
      </c>
      <c r="I94" s="53" t="str">
        <f ca="1"/>
        <v>Training</v>
      </c>
      <c r="J94" s="68">
        <f ca="1"/>
        <v>0.72687222094121406</v>
      </c>
      <c r="K94" s="21">
        <f t="shared" ca="1" si="2"/>
        <v>13.757043776603155</v>
      </c>
      <c r="L94" s="21">
        <f t="shared" ca="1" si="1"/>
        <v>127.06600307884557</v>
      </c>
      <c r="M94" s="54"/>
      <c r="N94" s="53"/>
      <c r="O94" s="67">
        <f ca="1"/>
        <v>360.78210000000007</v>
      </c>
      <c r="P94" s="53">
        <f ca="1"/>
        <v>347.02505622339692</v>
      </c>
      <c r="Q94" s="53" t="str">
        <f ca="1"/>
        <v>Training</v>
      </c>
      <c r="R94" s="68">
        <f ca="1"/>
        <v>3.8131170522603952</v>
      </c>
    </row>
    <row r="95" spans="1:27" x14ac:dyDescent="0.3">
      <c r="A95" s="67" t="str">
        <f ca="1"/>
        <v>RT11</v>
      </c>
      <c r="B95" s="53">
        <f ca="1"/>
        <v>170</v>
      </c>
      <c r="C95" s="53" t="str">
        <f ca="1"/>
        <v>Solidification</v>
      </c>
      <c r="D95" s="53">
        <f ca="1"/>
        <v>1</v>
      </c>
      <c r="E95" s="53">
        <f ca="1"/>
        <v>1</v>
      </c>
      <c r="F95" s="53">
        <f ca="1"/>
        <v>11.990650156666428</v>
      </c>
      <c r="G95" s="53">
        <f ca="1"/>
        <v>261.17692526275397</v>
      </c>
      <c r="H95" s="53">
        <f ca="1"/>
        <v>21.781715073852585</v>
      </c>
      <c r="I95" s="53" t="str">
        <f ca="1"/>
        <v>Training</v>
      </c>
      <c r="J95" s="68">
        <f ca="1"/>
        <v>0.17436455011812679</v>
      </c>
      <c r="K95" s="21">
        <f t="shared" ca="1" si="2"/>
        <v>20.425227423631441</v>
      </c>
      <c r="L95" s="21">
        <f t="shared" ca="1" si="1"/>
        <v>27.460828341599466</v>
      </c>
      <c r="M95" s="54"/>
      <c r="N95" s="53"/>
      <c r="O95" s="67">
        <f ca="1"/>
        <v>261.17692526275397</v>
      </c>
      <c r="P95" s="53">
        <f ca="1"/>
        <v>240.75169783912253</v>
      </c>
      <c r="Q95" s="53" t="str">
        <f ca="1"/>
        <v>Training</v>
      </c>
      <c r="R95" s="68">
        <f ca="1"/>
        <v>7.8204563450936115</v>
      </c>
    </row>
    <row r="96" spans="1:27" x14ac:dyDescent="0.3">
      <c r="A96" s="67" t="str">
        <f ca="1"/>
        <v>RT8</v>
      </c>
      <c r="B96" s="53">
        <f ca="1"/>
        <v>170</v>
      </c>
      <c r="C96" s="53" t="str">
        <f ca="1"/>
        <v>Solidification</v>
      </c>
      <c r="D96" s="53">
        <f ca="1"/>
        <v>1</v>
      </c>
      <c r="E96" s="53">
        <f ca="1"/>
        <v>3</v>
      </c>
      <c r="F96" s="53">
        <f ca="1"/>
        <v>11.346010588618963</v>
      </c>
      <c r="G96" s="53">
        <f ca="1"/>
        <v>205.62869365733505</v>
      </c>
      <c r="H96" s="53">
        <f ca="1"/>
        <v>18.123435726703669</v>
      </c>
      <c r="I96" s="53" t="str">
        <f ca="1"/>
        <v>Training</v>
      </c>
      <c r="J96" s="68">
        <f ca="1"/>
        <v>0.23477143101131959</v>
      </c>
      <c r="K96" s="21">
        <f t="shared" ca="1" si="2"/>
        <v>-22.179746854292148</v>
      </c>
      <c r="L96" s="21">
        <f t="shared" ca="1" si="1"/>
        <v>-28.087403263819454</v>
      </c>
      <c r="M96" s="54"/>
      <c r="N96" s="53"/>
      <c r="O96" s="67">
        <f ca="1"/>
        <v>205.62869365733505</v>
      </c>
      <c r="P96" s="53">
        <f ca="1"/>
        <v>227.8084405116272</v>
      </c>
      <c r="Q96" s="53" t="str">
        <f ca="1"/>
        <v>Training</v>
      </c>
      <c r="R96" s="68">
        <f ca="1"/>
        <v>10.786309274158523</v>
      </c>
    </row>
    <row r="97" spans="1:27" x14ac:dyDescent="0.3">
      <c r="A97" s="67" t="str">
        <f ca="1"/>
        <v>RT11</v>
      </c>
      <c r="B97" s="53">
        <f ca="1"/>
        <v>170</v>
      </c>
      <c r="C97" s="53" t="str">
        <f ca="1"/>
        <v>Melting</v>
      </c>
      <c r="D97" s="53">
        <f ca="1"/>
        <v>0.5</v>
      </c>
      <c r="E97" s="53">
        <f ca="1"/>
        <v>2</v>
      </c>
      <c r="F97" s="53">
        <f ca="1"/>
        <v>12.778499999994182</v>
      </c>
      <c r="G97" s="53">
        <f ca="1"/>
        <v>247.45169999999919</v>
      </c>
      <c r="H97" s="53">
        <f ca="1"/>
        <v>19.364690691404459</v>
      </c>
      <c r="I97" s="53" t="str">
        <f ca="1"/>
        <v>Training</v>
      </c>
      <c r="J97" s="68">
        <f ca="1"/>
        <v>0.11982482384105797</v>
      </c>
      <c r="K97" s="21">
        <f t="shared" ca="1" si="2"/>
        <v>-9.1186719681478792</v>
      </c>
      <c r="L97" s="21">
        <f t="shared" ca="1" si="1"/>
        <v>13.73560307884469</v>
      </c>
      <c r="M97" s="54"/>
      <c r="N97" s="53"/>
      <c r="O97" s="67">
        <f ca="1"/>
        <v>247.45169999999919</v>
      </c>
      <c r="P97" s="53">
        <f ca="1"/>
        <v>256.57037196814707</v>
      </c>
      <c r="Q97" s="53" t="str">
        <f ca="1"/>
        <v>Training</v>
      </c>
      <c r="R97" s="68">
        <f ca="1"/>
        <v>3.6850310457143389</v>
      </c>
    </row>
    <row r="98" spans="1:27" x14ac:dyDescent="0.3">
      <c r="A98" s="67" t="str">
        <f ca="1"/>
        <v>RT11</v>
      </c>
      <c r="B98" s="53">
        <f ca="1"/>
        <v>170</v>
      </c>
      <c r="C98" s="53" t="str">
        <f ca="1"/>
        <v>Melting</v>
      </c>
      <c r="D98" s="53">
        <f ca="1"/>
        <v>1</v>
      </c>
      <c r="E98" s="53">
        <f ca="1"/>
        <v>3</v>
      </c>
      <c r="F98" s="53">
        <f ca="1"/>
        <v>11.550733538461678</v>
      </c>
      <c r="G98" s="53">
        <f ca="1"/>
        <v>217.63550879854768</v>
      </c>
      <c r="H98" s="53">
        <f ca="1"/>
        <v>18.84170456134791</v>
      </c>
      <c r="I98" s="53" t="str">
        <f ca="1"/>
        <v>Training</v>
      </c>
      <c r="J98" s="68">
        <f ca="1"/>
        <v>0.15071051525066759</v>
      </c>
      <c r="K98" s="21">
        <f t="shared" ca="1" si="2"/>
        <v>-14.283417559742702</v>
      </c>
      <c r="L98" s="21">
        <f t="shared" ca="1" si="1"/>
        <v>-16.080588122606827</v>
      </c>
      <c r="M98" s="54"/>
      <c r="N98" s="53"/>
      <c r="O98" s="67">
        <f ca="1"/>
        <v>217.63550879854768</v>
      </c>
      <c r="P98" s="53">
        <f ca="1"/>
        <v>231.91892635829038</v>
      </c>
      <c r="Q98" s="53" t="str">
        <f ca="1"/>
        <v>Training</v>
      </c>
      <c r="R98" s="68">
        <f ca="1"/>
        <v>6.5629995944108632</v>
      </c>
    </row>
    <row r="99" spans="1:27" x14ac:dyDescent="0.3">
      <c r="A99" s="67" t="str">
        <f ca="1"/>
        <v>RT24</v>
      </c>
      <c r="B99" s="53">
        <f ca="1"/>
        <v>170</v>
      </c>
      <c r="C99" s="53" t="str">
        <f ca="1"/>
        <v>Melting</v>
      </c>
      <c r="D99" s="53">
        <f ca="1"/>
        <v>1</v>
      </c>
      <c r="E99" s="53">
        <f ca="1"/>
        <v>2</v>
      </c>
      <c r="F99" s="53">
        <f ca="1"/>
        <v>11.275199999993378</v>
      </c>
      <c r="G99" s="53">
        <f ca="1"/>
        <v>242.68199999999433</v>
      </c>
      <c r="H99" s="53">
        <f ca="1"/>
        <v>21.523520647096007</v>
      </c>
      <c r="I99" s="53" t="str">
        <f ca="1"/>
        <v>Training</v>
      </c>
      <c r="J99" s="68">
        <f ca="1"/>
        <v>0.68160103724193055</v>
      </c>
      <c r="K99" s="21">
        <f t="shared" ca="1" si="2"/>
        <v>16.295314707129762</v>
      </c>
      <c r="L99" s="21">
        <f t="shared" ca="1" si="1"/>
        <v>8.9659030788398297</v>
      </c>
      <c r="M99" s="54"/>
      <c r="N99" s="53"/>
      <c r="O99" s="67">
        <f ca="1"/>
        <v>242.68199999999433</v>
      </c>
      <c r="P99" s="53">
        <f ca="1"/>
        <v>226.38668529286457</v>
      </c>
      <c r="Q99" s="53" t="str">
        <f ca="1"/>
        <v>Training</v>
      </c>
      <c r="R99" s="68">
        <f ca="1"/>
        <v>6.714677935376395</v>
      </c>
    </row>
    <row r="100" spans="1:27" x14ac:dyDescent="0.3">
      <c r="A100" s="67" t="str">
        <f ca="1"/>
        <v>RT8</v>
      </c>
      <c r="B100" s="53">
        <f ca="1"/>
        <v>170</v>
      </c>
      <c r="C100" s="53" t="str">
        <f ca="1"/>
        <v>Solidification</v>
      </c>
      <c r="D100" s="53">
        <f ca="1"/>
        <v>1</v>
      </c>
      <c r="E100" s="53">
        <f ca="1"/>
        <v>2</v>
      </c>
      <c r="F100" s="53">
        <f ca="1"/>
        <v>9.2355319538814236</v>
      </c>
      <c r="G100" s="53">
        <f ca="1"/>
        <v>177.19746032724149</v>
      </c>
      <c r="H100" s="53">
        <f ca="1"/>
        <v>19.186492040966908</v>
      </c>
      <c r="I100" s="53" t="str">
        <f ca="1"/>
        <v>Training</v>
      </c>
      <c r="J100" s="68">
        <f ca="1"/>
        <v>0.66530586599233743</v>
      </c>
      <c r="K100" s="21">
        <f t="shared" ca="1" si="2"/>
        <v>-8.2361874977883645</v>
      </c>
      <c r="L100" s="21">
        <f t="shared" ca="1" si="1"/>
        <v>-56.518636593913016</v>
      </c>
      <c r="M100" s="54"/>
      <c r="N100" s="53"/>
      <c r="O100" s="67">
        <f ca="1"/>
        <v>177.19746032724149</v>
      </c>
      <c r="P100" s="53">
        <f ca="1"/>
        <v>185.43364782502985</v>
      </c>
      <c r="Q100" s="53" t="str">
        <f ca="1"/>
        <v>Training</v>
      </c>
      <c r="R100" s="68">
        <f ca="1"/>
        <v>4.6480279585148052</v>
      </c>
    </row>
    <row r="101" spans="1:27" x14ac:dyDescent="0.3">
      <c r="A101" s="67" t="str">
        <f ca="1"/>
        <v>RT8</v>
      </c>
      <c r="B101" s="53">
        <f ca="1"/>
        <v>170</v>
      </c>
      <c r="C101" s="53" t="str">
        <f ca="1"/>
        <v>Solidification</v>
      </c>
      <c r="D101" s="53">
        <f ca="1"/>
        <v>0.5</v>
      </c>
      <c r="E101" s="53">
        <f ca="1"/>
        <v>3</v>
      </c>
      <c r="F101" s="53">
        <f ca="1"/>
        <v>7.7242423058830347</v>
      </c>
      <c r="G101" s="53">
        <f ca="1"/>
        <v>178.55986063999981</v>
      </c>
      <c r="H101" s="53">
        <f ca="1"/>
        <v>23.116812441785104</v>
      </c>
      <c r="I101" s="53" t="str">
        <f ca="1"/>
        <v>Training</v>
      </c>
      <c r="J101" s="68">
        <f ca="1"/>
        <v>0.44383086277997219</v>
      </c>
      <c r="K101" s="21">
        <f t="shared" ca="1" si="2"/>
        <v>23.470317924234223</v>
      </c>
      <c r="L101" s="21">
        <f t="shared" ca="1" si="1"/>
        <v>-55.15623628115469</v>
      </c>
      <c r="M101" s="54"/>
      <c r="N101" s="53"/>
      <c r="O101" s="67">
        <f ca="1"/>
        <v>178.55986063999981</v>
      </c>
      <c r="P101" s="53">
        <f ca="1"/>
        <v>155.08954271576559</v>
      </c>
      <c r="Q101" s="53" t="str">
        <f ca="1"/>
        <v>Training</v>
      </c>
      <c r="R101" s="68">
        <f ca="1"/>
        <v>13.144229526227887</v>
      </c>
    </row>
    <row r="102" spans="1:27" x14ac:dyDescent="0.3">
      <c r="A102" s="67" t="str">
        <f ca="1"/>
        <v>RT11</v>
      </c>
      <c r="B102" s="53">
        <f ca="1"/>
        <v>170</v>
      </c>
      <c r="C102" s="53" t="str">
        <f ca="1"/>
        <v>Solidification</v>
      </c>
      <c r="D102" s="53">
        <f ca="1"/>
        <v>0.5</v>
      </c>
      <c r="E102" s="53">
        <f ca="1"/>
        <v>3</v>
      </c>
      <c r="F102" s="53">
        <f ca="1"/>
        <v>14.158822452174912</v>
      </c>
      <c r="G102" s="53">
        <f ca="1"/>
        <v>270.25498746086953</v>
      </c>
      <c r="H102" s="53">
        <f ca="1"/>
        <v>19.087391509691273</v>
      </c>
      <c r="I102" s="53" t="str">
        <f ca="1"/>
        <v>Training</v>
      </c>
      <c r="J102" s="68">
        <f ca="1"/>
        <v>1.641521685713887E-2</v>
      </c>
      <c r="K102" s="21">
        <f t="shared" ca="1" si="2"/>
        <v>-14.029892860539348</v>
      </c>
      <c r="L102" s="21">
        <f t="shared" ca="1" si="1"/>
        <v>36.538890539715027</v>
      </c>
      <c r="M102" s="54"/>
      <c r="N102" s="53"/>
      <c r="O102" s="67">
        <f ca="1"/>
        <v>270.25498746086953</v>
      </c>
      <c r="P102" s="53">
        <f ca="1"/>
        <v>284.28488032140888</v>
      </c>
      <c r="Q102" s="53" t="str">
        <f ca="1"/>
        <v>Training</v>
      </c>
      <c r="R102" s="68">
        <f ca="1"/>
        <v>5.1913539107472531</v>
      </c>
    </row>
    <row r="103" spans="1:27" x14ac:dyDescent="0.3">
      <c r="A103" s="67" t="str">
        <f ca="1"/>
        <v>RT8</v>
      </c>
      <c r="B103" s="53">
        <f ca="1"/>
        <v>170</v>
      </c>
      <c r="C103" s="53" t="str">
        <f ca="1"/>
        <v>Melting</v>
      </c>
      <c r="D103" s="53">
        <f ca="1"/>
        <v>0.5</v>
      </c>
      <c r="E103" s="53">
        <f ca="1"/>
        <v>2</v>
      </c>
      <c r="F103" s="53">
        <f ca="1"/>
        <v>6.9327748784655023</v>
      </c>
      <c r="G103" s="53">
        <f ca="1"/>
        <v>136.08228581679037</v>
      </c>
      <c r="H103" s="53">
        <f ca="1"/>
        <v>19.62883379344791</v>
      </c>
      <c r="I103" s="53" t="str">
        <f ca="1"/>
        <v>Training</v>
      </c>
      <c r="J103" s="68">
        <f ca="1"/>
        <v>0.23643258014509361</v>
      </c>
      <c r="K103" s="21">
        <f t="shared" ca="1" si="2"/>
        <v>-3.1159478835758136</v>
      </c>
      <c r="L103" s="21">
        <f t="shared" ca="1" si="1"/>
        <v>-97.633811104364128</v>
      </c>
      <c r="M103" s="54"/>
      <c r="N103" s="53"/>
      <c r="O103" s="67">
        <f ca="1"/>
        <v>136.08228581679037</v>
      </c>
      <c r="P103" s="53">
        <f ca="1"/>
        <v>139.19823370036619</v>
      </c>
      <c r="Q103" s="53" t="str">
        <f ca="1"/>
        <v>Training</v>
      </c>
      <c r="R103" s="68">
        <f ca="1"/>
        <v>2.2897527513396279</v>
      </c>
    </row>
    <row r="104" spans="1:27" x14ac:dyDescent="0.3">
      <c r="A104" s="67" t="str">
        <f ca="1"/>
        <v>RT24</v>
      </c>
      <c r="B104" s="53">
        <f ca="1"/>
        <v>170</v>
      </c>
      <c r="C104" s="53" t="str">
        <f ca="1"/>
        <v>Solidification</v>
      </c>
      <c r="D104" s="53">
        <f ca="1"/>
        <v>1</v>
      </c>
      <c r="E104" s="53">
        <f ca="1"/>
        <v>1</v>
      </c>
      <c r="F104" s="53">
        <f ca="1"/>
        <v>19.086000000000098</v>
      </c>
      <c r="G104" s="53">
        <f ca="1"/>
        <v>387.39479999999998</v>
      </c>
      <c r="H104" s="53">
        <f ca="1"/>
        <v>20.297327884313002</v>
      </c>
      <c r="I104" s="53" t="str">
        <f ca="1"/>
        <v>Training</v>
      </c>
      <c r="J104" s="68">
        <f ca="1"/>
        <v>5.6734803659624355E-2</v>
      </c>
      <c r="K104" s="21">
        <f t="shared" ca="1" si="2"/>
        <v>4.1806418917470864</v>
      </c>
      <c r="L104" s="21">
        <f t="shared" ca="1" si="1"/>
        <v>153.67870307884547</v>
      </c>
      <c r="M104" s="54"/>
      <c r="N104" s="53"/>
      <c r="O104" s="67">
        <f ca="1"/>
        <v>387.39479999999998</v>
      </c>
      <c r="P104" s="53">
        <f ca="1"/>
        <v>383.21415810825289</v>
      </c>
      <c r="Q104" s="53" t="str">
        <f ca="1"/>
        <v>Training</v>
      </c>
      <c r="R104" s="68">
        <f ca="1"/>
        <v>1.0791683036909856</v>
      </c>
    </row>
    <row r="105" spans="1:27" x14ac:dyDescent="0.3">
      <c r="A105" s="67" t="str">
        <f ca="1"/>
        <v>RT8</v>
      </c>
      <c r="B105" s="53">
        <f ca="1"/>
        <v>170</v>
      </c>
      <c r="C105" s="53" t="str">
        <f ca="1"/>
        <v>Solidification</v>
      </c>
      <c r="D105" s="53">
        <f ca="1"/>
        <v>0.5</v>
      </c>
      <c r="E105" s="53">
        <f ca="1"/>
        <v>2</v>
      </c>
      <c r="F105" s="53">
        <f ca="1"/>
        <v>8.9898000000008071</v>
      </c>
      <c r="G105" s="53">
        <f ca="1"/>
        <v>184.20239999999984</v>
      </c>
      <c r="H105" s="53">
        <f ca="1"/>
        <v>20.490155509575661</v>
      </c>
      <c r="I105" s="53" t="str">
        <f ca="1"/>
        <v>Training</v>
      </c>
      <c r="J105" s="68">
        <f ca="1"/>
        <v>0.59858259585124196</v>
      </c>
      <c r="K105" s="21">
        <f t="shared" ca="1" si="2"/>
        <v>3.7026285150441822</v>
      </c>
      <c r="L105" s="21">
        <f t="shared" ca="1" si="1"/>
        <v>-49.513696921154661</v>
      </c>
      <c r="M105" s="54"/>
      <c r="N105" s="53"/>
      <c r="O105" s="67">
        <f ca="1"/>
        <v>184.20239999999984</v>
      </c>
      <c r="P105" s="53">
        <f ca="1"/>
        <v>180.49977148495566</v>
      </c>
      <c r="Q105" s="53" t="str">
        <f ca="1"/>
        <v>Training</v>
      </c>
      <c r="R105" s="68">
        <f ca="1"/>
        <v>2.0100870102909547</v>
      </c>
    </row>
    <row r="106" spans="1:27" x14ac:dyDescent="0.3">
      <c r="A106" s="67" t="str">
        <f ca="1"/>
        <v>RT24</v>
      </c>
      <c r="B106" s="53">
        <f ca="1"/>
        <v>170</v>
      </c>
      <c r="C106" s="53" t="str">
        <f ca="1"/>
        <v>Solidification</v>
      </c>
      <c r="D106" s="53">
        <f ca="1"/>
        <v>1</v>
      </c>
      <c r="E106" s="53">
        <f ca="1"/>
        <v>2</v>
      </c>
      <c r="F106" s="53">
        <f ca="1"/>
        <v>17.790648849835058</v>
      </c>
      <c r="G106" s="53">
        <f ca="1"/>
        <v>369.31674307917132</v>
      </c>
      <c r="H106" s="53">
        <f ca="1"/>
        <v>20.759037300800603</v>
      </c>
      <c r="I106" s="53" t="str">
        <f ca="1"/>
        <v>Training</v>
      </c>
      <c r="J106" s="68">
        <f ca="1"/>
        <v>0.60440793065660847</v>
      </c>
      <c r="K106" s="21">
        <f t="shared" ca="1" si="2"/>
        <v>12.111015258304462</v>
      </c>
      <c r="L106" s="21">
        <f t="shared" ca="1" si="1"/>
        <v>135.60064615801681</v>
      </c>
      <c r="M106" s="54"/>
      <c r="N106" s="53"/>
      <c r="O106" s="67">
        <f ca="1"/>
        <v>369.31674307917132</v>
      </c>
      <c r="P106" s="53">
        <f ca="1"/>
        <v>357.20572782086685</v>
      </c>
      <c r="Q106" s="53" t="str">
        <f ca="1"/>
        <v>Training</v>
      </c>
      <c r="R106" s="68">
        <f ca="1"/>
        <v>3.2793030603836435</v>
      </c>
    </row>
    <row r="107" spans="1:27" x14ac:dyDescent="0.3">
      <c r="A107" s="67" t="str">
        <f ca="1"/>
        <v>RT24</v>
      </c>
      <c r="B107" s="53">
        <f ca="1"/>
        <v>170</v>
      </c>
      <c r="C107" s="53" t="str">
        <f ca="1"/>
        <v>Melting</v>
      </c>
      <c r="D107" s="53">
        <f ca="1"/>
        <v>0.5</v>
      </c>
      <c r="E107" s="53">
        <f ca="1"/>
        <v>1</v>
      </c>
      <c r="F107" s="53">
        <f ca="1"/>
        <v>10.128440696018268</v>
      </c>
      <c r="G107" s="53">
        <f ca="1"/>
        <v>212.52860331422897</v>
      </c>
      <c r="H107" s="53">
        <f ca="1"/>
        <v>20.983348739730392</v>
      </c>
      <c r="I107" s="53" t="str">
        <f ca="1"/>
        <v>Training</v>
      </c>
      <c r="J107" s="68">
        <f ca="1"/>
        <v>0.17706411083851126</v>
      </c>
      <c r="K107" s="21">
        <f t="shared" ca="1" si="2"/>
        <v>9.1668787897614266</v>
      </c>
      <c r="L107" s="21">
        <f t="shared" ca="1" si="1"/>
        <v>-21.187493606925528</v>
      </c>
      <c r="M107" s="54"/>
      <c r="N107" s="53"/>
      <c r="O107" s="67">
        <f ca="1"/>
        <v>212.52860331422897</v>
      </c>
      <c r="P107" s="53">
        <f ca="1"/>
        <v>203.36172452446755</v>
      </c>
      <c r="Q107" s="53" t="str">
        <f ca="1"/>
        <v>Training</v>
      </c>
      <c r="R107" s="68">
        <f ca="1"/>
        <v>4.3132447335608575</v>
      </c>
    </row>
    <row r="108" spans="1:27" x14ac:dyDescent="0.3">
      <c r="A108" s="67" t="str">
        <f ca="1"/>
        <v>RT24</v>
      </c>
      <c r="B108" s="53">
        <f ca="1"/>
        <v>170</v>
      </c>
      <c r="C108" s="53" t="str">
        <f ca="1"/>
        <v>Solidification</v>
      </c>
      <c r="D108" s="53">
        <f ca="1"/>
        <v>0.5</v>
      </c>
      <c r="E108" s="53">
        <f ca="1"/>
        <v>1</v>
      </c>
      <c r="F108" s="53">
        <f ca="1"/>
        <v>14.747651848983457</v>
      </c>
      <c r="G108" s="53">
        <f ca="1"/>
        <v>292.58543252599304</v>
      </c>
      <c r="H108" s="53">
        <f ca="1"/>
        <v>19.839458886206398</v>
      </c>
      <c r="I108" s="53" t="str">
        <f ca="1"/>
        <v>Training</v>
      </c>
      <c r="J108" s="68">
        <f ca="1"/>
        <v>0.60639009216218198</v>
      </c>
      <c r="K108" s="21">
        <f t="shared" ca="1" si="2"/>
        <v>-3.5221325678865583</v>
      </c>
      <c r="L108" s="21">
        <f t="shared" ca="1" si="1"/>
        <v>58.86933560483854</v>
      </c>
      <c r="M108" s="54"/>
      <c r="N108" s="53"/>
      <c r="O108" s="67">
        <f ca="1"/>
        <v>292.58543252599304</v>
      </c>
      <c r="P108" s="53">
        <f ca="1"/>
        <v>296.1075650938796</v>
      </c>
      <c r="Q108" s="53" t="str">
        <f ca="1"/>
        <v>Training</v>
      </c>
      <c r="R108" s="68">
        <f ca="1"/>
        <v>1.2037962852349646</v>
      </c>
    </row>
    <row r="109" spans="1:27" x14ac:dyDescent="0.3">
      <c r="A109" s="69" t="str">
        <f ca="1"/>
        <v>RT11</v>
      </c>
      <c r="B109" s="70">
        <f ca="1"/>
        <v>170</v>
      </c>
      <c r="C109" s="70" t="str">
        <f ca="1"/>
        <v>Melting</v>
      </c>
      <c r="D109" s="70">
        <f ca="1"/>
        <v>0.5</v>
      </c>
      <c r="E109" s="70">
        <f ca="1"/>
        <v>3</v>
      </c>
      <c r="F109" s="70">
        <f ca="1"/>
        <v>13.394999999995163</v>
      </c>
      <c r="G109" s="70">
        <f ca="1"/>
        <v>240.30809999999769</v>
      </c>
      <c r="H109" s="70">
        <f ca="1"/>
        <v>17.940134378505746</v>
      </c>
      <c r="I109" s="70" t="str">
        <f ca="1"/>
        <v>Training</v>
      </c>
      <c r="J109" s="71">
        <f ca="1"/>
        <v>0.38644570843764814</v>
      </c>
      <c r="K109" s="21">
        <f t="shared" ca="1" si="2"/>
        <v>-28.640535013004921</v>
      </c>
      <c r="L109" s="21">
        <f t="shared" ca="1" si="1"/>
        <v>6.5920030788431916</v>
      </c>
      <c r="M109" s="54"/>
      <c r="N109" s="53"/>
      <c r="O109" s="69">
        <f ca="1"/>
        <v>240.30809999999769</v>
      </c>
      <c r="P109" s="70">
        <f ca="1"/>
        <v>268.94863501300262</v>
      </c>
      <c r="Q109" s="70" t="str">
        <f ca="1"/>
        <v>Training</v>
      </c>
      <c r="R109" s="71">
        <f ca="1"/>
        <v>11.918256194029746</v>
      </c>
    </row>
    <row r="110" spans="1:27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4"/>
      <c r="N110" s="53"/>
      <c r="O110" s="53"/>
      <c r="P110" s="53"/>
      <c r="Q110" s="53"/>
      <c r="R110" s="53"/>
    </row>
    <row r="111" spans="1:27" x14ac:dyDescent="0.3">
      <c r="K111" s="52"/>
      <c r="L111" s="52"/>
    </row>
    <row r="112" spans="1:27" s="2" customFormat="1" x14ac:dyDescent="0.3">
      <c r="A112" s="28" t="str" cm="1">
        <f t="array" aca="1" ref="A112:J122" ca="1">_xlfn._xlws.FILTER(Data_Effect_m_L[],Data_Effect_m_L[T / V]="Validation")</f>
        <v>RT8</v>
      </c>
      <c r="B112" s="29">
        <f ca="1"/>
        <v>170</v>
      </c>
      <c r="C112" s="29" t="str">
        <f ca="1"/>
        <v>Solidification</v>
      </c>
      <c r="D112" s="29">
        <f ca="1"/>
        <v>1</v>
      </c>
      <c r="E112" s="29">
        <f ca="1"/>
        <v>1</v>
      </c>
      <c r="F112" s="29">
        <f ca="1"/>
        <v>6.9743999999999957</v>
      </c>
      <c r="G112" s="29">
        <f ca="1"/>
        <v>169.83240000000001</v>
      </c>
      <c r="H112" s="29">
        <f ca="1"/>
        <v>24.350825877494856</v>
      </c>
      <c r="I112" s="29" t="str">
        <f ca="1"/>
        <v>Validation</v>
      </c>
      <c r="J112" s="30">
        <f ca="1"/>
        <v>0.62910301704953508</v>
      </c>
      <c r="K112" s="31"/>
      <c r="L112" s="31"/>
      <c r="M112" s="32"/>
      <c r="N112" s="31"/>
      <c r="O112" s="28" cm="1">
        <f t="array" aca="1" ref="O112:R122" ca="1">_xlfn._xlws.FILTER(Estimates_Effect_m_L[],Estimates_Effect_m_L[T / V]="Validation")</f>
        <v>169.83240000000001</v>
      </c>
      <c r="P112" s="29">
        <f ca="1"/>
        <v>140.03399477680938</v>
      </c>
      <c r="Q112" s="29" t="str">
        <f ca="1"/>
        <v>Validation</v>
      </c>
      <c r="R112" s="30">
        <f ca="1"/>
        <v>17.545771727415161</v>
      </c>
      <c r="V112"/>
      <c r="W112"/>
      <c r="X112"/>
      <c r="Y112"/>
      <c r="Z112"/>
      <c r="AA112"/>
    </row>
    <row r="113" spans="1:27" s="2" customFormat="1" x14ac:dyDescent="0.3">
      <c r="A113" s="33" t="str">
        <f ca="1"/>
        <v>RT24</v>
      </c>
      <c r="B113" s="31">
        <f ca="1"/>
        <v>170</v>
      </c>
      <c r="C113" s="31" t="str">
        <f ca="1"/>
        <v>Melting</v>
      </c>
      <c r="D113" s="31">
        <f ca="1"/>
        <v>0.5</v>
      </c>
      <c r="E113" s="31">
        <f ca="1"/>
        <v>2</v>
      </c>
      <c r="F113" s="31">
        <f ca="1"/>
        <v>11.275199999993378</v>
      </c>
      <c r="G113" s="31">
        <f ca="1"/>
        <v>242.68199999999433</v>
      </c>
      <c r="H113" s="31">
        <f ca="1"/>
        <v>21.523520647096007</v>
      </c>
      <c r="I113" s="31" t="str">
        <f ca="1"/>
        <v>Validation</v>
      </c>
      <c r="J113" s="34">
        <f ca="1"/>
        <v>0.7796282586321347</v>
      </c>
      <c r="K113" s="31"/>
      <c r="L113" s="31"/>
      <c r="M113" s="32"/>
      <c r="N113" s="31"/>
      <c r="O113" s="33">
        <f ca="1"/>
        <v>242.68199999999433</v>
      </c>
      <c r="P113" s="31">
        <f ca="1"/>
        <v>226.38668529286457</v>
      </c>
      <c r="Q113" s="31" t="str">
        <f ca="1"/>
        <v>Validation</v>
      </c>
      <c r="R113" s="34">
        <f ca="1"/>
        <v>6.714677935376395</v>
      </c>
      <c r="V113"/>
      <c r="W113"/>
      <c r="X113"/>
      <c r="Y113"/>
      <c r="Z113"/>
      <c r="AA113"/>
    </row>
    <row r="114" spans="1:27" s="2" customFormat="1" x14ac:dyDescent="0.3">
      <c r="A114" s="33" t="str">
        <f ca="1"/>
        <v>RT11</v>
      </c>
      <c r="B114" s="31">
        <f ca="1"/>
        <v>170</v>
      </c>
      <c r="C114" s="31" t="str">
        <f ca="1"/>
        <v>Melting</v>
      </c>
      <c r="D114" s="31">
        <f ca="1"/>
        <v>1</v>
      </c>
      <c r="E114" s="31">
        <f ca="1"/>
        <v>2</v>
      </c>
      <c r="F114" s="31">
        <f ca="1"/>
        <v>11.370389065312704</v>
      </c>
      <c r="G114" s="31">
        <f ca="1"/>
        <v>218.07088535308668</v>
      </c>
      <c r="H114" s="31">
        <f ca="1"/>
        <v>19.178841119724638</v>
      </c>
      <c r="I114" s="31" t="str">
        <f ca="1"/>
        <v>Validation</v>
      </c>
      <c r="J114" s="34">
        <f ca="1"/>
        <v>0.66704450065686471</v>
      </c>
      <c r="K114" s="31"/>
      <c r="L114" s="31"/>
      <c r="M114" s="32"/>
      <c r="N114" s="31"/>
      <c r="O114" s="33">
        <f ca="1"/>
        <v>218.07088535308668</v>
      </c>
      <c r="P114" s="31">
        <f ca="1"/>
        <v>228.29791852808708</v>
      </c>
      <c r="Q114" s="31" t="str">
        <f ca="1"/>
        <v>Validation</v>
      </c>
      <c r="R114" s="34">
        <f ca="1"/>
        <v>4.6897746842461023</v>
      </c>
      <c r="V114"/>
      <c r="W114"/>
      <c r="X114"/>
      <c r="Y114"/>
      <c r="Z114"/>
      <c r="AA114"/>
    </row>
    <row r="115" spans="1:27" s="2" customFormat="1" x14ac:dyDescent="0.3">
      <c r="A115" s="33" t="str">
        <f ca="1"/>
        <v>RT24</v>
      </c>
      <c r="B115" s="31">
        <f ca="1"/>
        <v>170</v>
      </c>
      <c r="C115" s="31" t="str">
        <f ca="1"/>
        <v>Melting</v>
      </c>
      <c r="D115" s="31">
        <f ca="1"/>
        <v>0.5</v>
      </c>
      <c r="E115" s="31">
        <f ca="1"/>
        <v>3</v>
      </c>
      <c r="F115" s="31">
        <f ca="1"/>
        <v>12.827573007786603</v>
      </c>
      <c r="G115" s="31">
        <f ca="1"/>
        <v>256.02550949111617</v>
      </c>
      <c r="H115" s="31">
        <f ca="1"/>
        <v>19.958998427504827</v>
      </c>
      <c r="I115" s="31" t="str">
        <f ca="1"/>
        <v>Validation</v>
      </c>
      <c r="J115" s="34">
        <f ca="1"/>
        <v>0.94742141090070975</v>
      </c>
      <c r="K115" s="31"/>
      <c r="L115" s="31"/>
      <c r="M115" s="32"/>
      <c r="N115" s="31"/>
      <c r="O115" s="33">
        <f ca="1"/>
        <v>256.02550949111617</v>
      </c>
      <c r="P115" s="31">
        <f ca="1"/>
        <v>257.55567383166022</v>
      </c>
      <c r="Q115" s="31" t="str">
        <f ca="1"/>
        <v>Validation</v>
      </c>
      <c r="R115" s="34">
        <f ca="1"/>
        <v>0.59766089073914819</v>
      </c>
      <c r="V115"/>
      <c r="W115"/>
      <c r="X115"/>
      <c r="Y115"/>
      <c r="Z115"/>
      <c r="AA115"/>
    </row>
    <row r="116" spans="1:27" s="2" customFormat="1" x14ac:dyDescent="0.3">
      <c r="A116" s="33" t="str">
        <f ca="1"/>
        <v>RT24</v>
      </c>
      <c r="B116" s="31">
        <f ca="1"/>
        <v>170</v>
      </c>
      <c r="C116" s="31" t="str">
        <f ca="1"/>
        <v>Solidification</v>
      </c>
      <c r="D116" s="31">
        <f ca="1"/>
        <v>0.5</v>
      </c>
      <c r="E116" s="31">
        <f ca="1"/>
        <v>3</v>
      </c>
      <c r="F116" s="31">
        <f ca="1"/>
        <v>15.972408843058197</v>
      </c>
      <c r="G116" s="31">
        <f ca="1"/>
        <v>309.82490270263128</v>
      </c>
      <c r="H116" s="31">
        <f ca="1"/>
        <v>19.397506396618752</v>
      </c>
      <c r="I116" s="31" t="str">
        <f ca="1"/>
        <v>Validation</v>
      </c>
      <c r="J116" s="34">
        <f ca="1"/>
        <v>0.77811243309326894</v>
      </c>
      <c r="K116" s="31"/>
      <c r="L116" s="31"/>
      <c r="M116" s="32"/>
      <c r="N116" s="31"/>
      <c r="O116" s="33">
        <f ca="1"/>
        <v>309.82490270263128</v>
      </c>
      <c r="P116" s="31">
        <f ca="1"/>
        <v>320.69858575674994</v>
      </c>
      <c r="Q116" s="31" t="str">
        <f ca="1"/>
        <v>Validation</v>
      </c>
      <c r="R116" s="34">
        <f ca="1"/>
        <v>3.5096220346610343</v>
      </c>
      <c r="V116"/>
      <c r="W116"/>
      <c r="X116"/>
      <c r="Y116"/>
      <c r="Z116"/>
      <c r="AA116"/>
    </row>
    <row r="117" spans="1:27" s="2" customFormat="1" x14ac:dyDescent="0.3">
      <c r="A117" s="33" t="str">
        <f ca="1"/>
        <v>RT8</v>
      </c>
      <c r="B117" s="31">
        <f ca="1"/>
        <v>170</v>
      </c>
      <c r="C117" s="31" t="str">
        <f ca="1"/>
        <v>Melting</v>
      </c>
      <c r="D117" s="31">
        <f ca="1"/>
        <v>1</v>
      </c>
      <c r="E117" s="31">
        <f ca="1"/>
        <v>1</v>
      </c>
      <c r="F117" s="31">
        <f ca="1"/>
        <v>7.7868000000008877</v>
      </c>
      <c r="G117" s="31">
        <f ca="1"/>
        <v>134.81040000000056</v>
      </c>
      <c r="H117" s="31">
        <f ca="1"/>
        <v>17.312683002001489</v>
      </c>
      <c r="I117" s="31" t="str">
        <f ca="1"/>
        <v>Validation</v>
      </c>
      <c r="J117" s="34">
        <f ca="1"/>
        <v>0.72737230684444976</v>
      </c>
      <c r="K117" s="31"/>
      <c r="L117" s="31"/>
      <c r="M117" s="32"/>
      <c r="N117" s="31"/>
      <c r="O117" s="33">
        <f ca="1"/>
        <v>134.81040000000056</v>
      </c>
      <c r="P117" s="31">
        <f ca="1"/>
        <v>156.34559396194427</v>
      </c>
      <c r="Q117" s="31" t="str">
        <f ca="1"/>
        <v>Validation</v>
      </c>
      <c r="R117" s="34">
        <f ca="1"/>
        <v>15.97443072785455</v>
      </c>
      <c r="V117"/>
      <c r="W117"/>
      <c r="X117"/>
      <c r="Y117"/>
      <c r="Z117"/>
      <c r="AA117"/>
    </row>
    <row r="118" spans="1:27" s="2" customFormat="1" x14ac:dyDescent="0.3">
      <c r="A118" s="33" t="str">
        <f ca="1"/>
        <v>RT24</v>
      </c>
      <c r="B118" s="31">
        <f ca="1"/>
        <v>170</v>
      </c>
      <c r="C118" s="31" t="str">
        <f ca="1"/>
        <v>Solidification</v>
      </c>
      <c r="D118" s="31">
        <f ca="1"/>
        <v>0.5</v>
      </c>
      <c r="E118" s="31">
        <f ca="1"/>
        <v>2</v>
      </c>
      <c r="F118" s="31">
        <f ca="1"/>
        <v>17.790648849835058</v>
      </c>
      <c r="G118" s="31">
        <f ca="1"/>
        <v>369.31674307917132</v>
      </c>
      <c r="H118" s="31">
        <f ca="1"/>
        <v>20.759037300800603</v>
      </c>
      <c r="I118" s="31" t="str">
        <f ca="1"/>
        <v>Validation</v>
      </c>
      <c r="J118" s="34">
        <f ca="1"/>
        <v>0.4724274751389298</v>
      </c>
      <c r="K118" s="31"/>
      <c r="L118" s="31"/>
      <c r="M118" s="32"/>
      <c r="N118" s="31"/>
      <c r="O118" s="33">
        <f ca="1"/>
        <v>369.31674307917132</v>
      </c>
      <c r="P118" s="31">
        <f ca="1"/>
        <v>357.20572782086685</v>
      </c>
      <c r="Q118" s="31" t="str">
        <f ca="1"/>
        <v>Validation</v>
      </c>
      <c r="R118" s="34">
        <f ca="1"/>
        <v>3.2793030603836435</v>
      </c>
      <c r="V118"/>
      <c r="W118"/>
      <c r="X118"/>
      <c r="Y118"/>
      <c r="Z118"/>
      <c r="AA118"/>
    </row>
    <row r="119" spans="1:27" s="2" customFormat="1" x14ac:dyDescent="0.3">
      <c r="A119" s="33" t="str">
        <f ca="1"/>
        <v>RT11</v>
      </c>
      <c r="B119" s="31">
        <f ca="1"/>
        <v>170</v>
      </c>
      <c r="C119" s="31" t="str">
        <f ca="1"/>
        <v>Solidification</v>
      </c>
      <c r="D119" s="31">
        <f ca="1"/>
        <v>0.5</v>
      </c>
      <c r="E119" s="31">
        <f ca="1"/>
        <v>1</v>
      </c>
      <c r="F119" s="31">
        <f ca="1"/>
        <v>11.393531322500698</v>
      </c>
      <c r="G119" s="31">
        <f ca="1"/>
        <v>236.18810812499981</v>
      </c>
      <c r="H119" s="31">
        <f ca="1"/>
        <v>20.730017888181866</v>
      </c>
      <c r="I119" s="31" t="str">
        <f ca="1"/>
        <v>Validation</v>
      </c>
      <c r="J119" s="34">
        <f ca="1"/>
        <v>0.27443537592807432</v>
      </c>
      <c r="K119" s="31"/>
      <c r="L119" s="31"/>
      <c r="M119" s="32"/>
      <c r="N119" s="31"/>
      <c r="O119" s="33">
        <f ca="1"/>
        <v>236.18810812499981</v>
      </c>
      <c r="P119" s="31">
        <f ca="1"/>
        <v>228.76257537630156</v>
      </c>
      <c r="Q119" s="31" t="str">
        <f ca="1"/>
        <v>Validation</v>
      </c>
      <c r="R119" s="34">
        <f ca="1"/>
        <v>3.1439062735404031</v>
      </c>
      <c r="V119"/>
      <c r="W119"/>
      <c r="X119"/>
      <c r="Y119"/>
      <c r="Z119"/>
      <c r="AA119"/>
    </row>
    <row r="120" spans="1:27" s="2" customFormat="1" x14ac:dyDescent="0.3">
      <c r="A120" s="33" t="str">
        <f ca="1"/>
        <v>RT11</v>
      </c>
      <c r="B120" s="31">
        <f ca="1"/>
        <v>170</v>
      </c>
      <c r="C120" s="31" t="str">
        <f ca="1"/>
        <v>Melting</v>
      </c>
      <c r="D120" s="31">
        <f ca="1"/>
        <v>0.5</v>
      </c>
      <c r="E120" s="31">
        <f ca="1"/>
        <v>1</v>
      </c>
      <c r="F120" s="31">
        <f ca="1"/>
        <v>12.236660066643104</v>
      </c>
      <c r="G120" s="31">
        <f ca="1"/>
        <v>246.42412532412126</v>
      </c>
      <c r="H120" s="31">
        <f ca="1"/>
        <v>20.138185091524168</v>
      </c>
      <c r="I120" s="31" t="str">
        <f ca="1"/>
        <v>Validation</v>
      </c>
      <c r="J120" s="34">
        <f ca="1"/>
        <v>0.31329125890689358</v>
      </c>
      <c r="K120" s="31"/>
      <c r="L120" s="31"/>
      <c r="M120" s="32"/>
      <c r="N120" s="31"/>
      <c r="O120" s="33">
        <f ca="1"/>
        <v>246.42412532412126</v>
      </c>
      <c r="P120" s="31">
        <f ca="1"/>
        <v>245.69115506106522</v>
      </c>
      <c r="Q120" s="31" t="str">
        <f ca="1"/>
        <v>Validation</v>
      </c>
      <c r="R120" s="34">
        <f ca="1"/>
        <v>0.29744257470406826</v>
      </c>
      <c r="V120"/>
      <c r="W120"/>
      <c r="X120"/>
      <c r="Y120"/>
      <c r="Z120"/>
      <c r="AA120"/>
    </row>
    <row r="121" spans="1:27" s="2" customFormat="1" x14ac:dyDescent="0.3">
      <c r="A121" s="33" t="str">
        <f ca="1"/>
        <v>RT8</v>
      </c>
      <c r="B121" s="31">
        <f ca="1"/>
        <v>170</v>
      </c>
      <c r="C121" s="31" t="str">
        <f ca="1"/>
        <v>Melting</v>
      </c>
      <c r="D121" s="31">
        <f ca="1"/>
        <v>0.5</v>
      </c>
      <c r="E121" s="31">
        <f ca="1"/>
        <v>3</v>
      </c>
      <c r="F121" s="31">
        <f ca="1"/>
        <v>6.6891725519443357</v>
      </c>
      <c r="G121" s="31">
        <f ca="1"/>
        <v>134.90327528622092</v>
      </c>
      <c r="H121" s="31">
        <f ca="1"/>
        <v>20.167408485674166</v>
      </c>
      <c r="I121" s="31" t="str">
        <f ca="1"/>
        <v>Validation</v>
      </c>
      <c r="J121" s="34">
        <f ca="1"/>
        <v>0.40347588967822035</v>
      </c>
      <c r="K121" s="31"/>
      <c r="L121" s="31"/>
      <c r="M121" s="32"/>
      <c r="N121" s="31"/>
      <c r="O121" s="33">
        <f ca="1"/>
        <v>134.90327528622092</v>
      </c>
      <c r="P121" s="31">
        <f ca="1"/>
        <v>134.30711662654139</v>
      </c>
      <c r="Q121" s="31" t="str">
        <f ca="1"/>
        <v>Validation</v>
      </c>
      <c r="R121" s="34">
        <f ca="1"/>
        <v>0.44191563059879491</v>
      </c>
      <c r="V121"/>
      <c r="W121"/>
      <c r="X121"/>
      <c r="Y121"/>
      <c r="Z121"/>
      <c r="AA121"/>
    </row>
    <row r="122" spans="1:27" s="2" customFormat="1" x14ac:dyDescent="0.3">
      <c r="A122" s="35" t="str">
        <f ca="1"/>
        <v>RT11</v>
      </c>
      <c r="B122" s="36">
        <f ca="1"/>
        <v>170</v>
      </c>
      <c r="C122" s="36" t="str">
        <f ca="1"/>
        <v>Melting</v>
      </c>
      <c r="D122" s="36">
        <f ca="1"/>
        <v>1</v>
      </c>
      <c r="E122" s="36">
        <f ca="1"/>
        <v>1</v>
      </c>
      <c r="F122" s="36">
        <f ca="1"/>
        <v>11.064381075029758</v>
      </c>
      <c r="G122" s="36">
        <f ca="1"/>
        <v>222.77243533078848</v>
      </c>
      <c r="H122" s="36">
        <f ca="1"/>
        <v>20.134197640168441</v>
      </c>
      <c r="I122" s="36" t="str">
        <f ca="1"/>
        <v>Validation</v>
      </c>
      <c r="J122" s="37">
        <f ca="1"/>
        <v>0.48581883780833934</v>
      </c>
      <c r="K122" s="31"/>
      <c r="L122" s="31"/>
      <c r="M122" s="32"/>
      <c r="N122" s="31"/>
      <c r="O122" s="35">
        <f ca="1"/>
        <v>222.77243533078848</v>
      </c>
      <c r="P122" s="36">
        <f ca="1"/>
        <v>222.15380271698589</v>
      </c>
      <c r="Q122" s="36" t="str">
        <f ca="1"/>
        <v>Validation</v>
      </c>
      <c r="R122" s="37">
        <f ca="1"/>
        <v>0.27769710955666438</v>
      </c>
      <c r="V122"/>
      <c r="W122"/>
      <c r="X122"/>
      <c r="Y122"/>
      <c r="Z122"/>
      <c r="AA122"/>
    </row>
    <row r="123" spans="1:27" s="2" customFormat="1" x14ac:dyDescent="0.3">
      <c r="A123" s="33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2"/>
      <c r="N123" s="31"/>
      <c r="O123" s="33"/>
      <c r="P123" s="31"/>
      <c r="Q123" s="31"/>
      <c r="R123" s="31"/>
      <c r="V123"/>
      <c r="W123"/>
      <c r="X123"/>
      <c r="Y123"/>
      <c r="Z123"/>
      <c r="AA123"/>
    </row>
    <row r="125" spans="1:27" x14ac:dyDescent="0.3">
      <c r="A125" s="46" t="str" cm="1">
        <f t="array" aca="1" ref="A125:J136" ca="1">_xlfn._xlws.FILTER(Data_Effect_m_L[],Data_Effect_m_L[T / V]=$B$7)</f>
        <v>RT8 (15mm)</v>
      </c>
      <c r="B125" s="42">
        <f ca="1"/>
        <v>170</v>
      </c>
      <c r="C125" s="42" t="str">
        <f ca="1"/>
        <v>Solidification</v>
      </c>
      <c r="D125" s="42">
        <f ca="1"/>
        <v>1</v>
      </c>
      <c r="E125" s="42">
        <f ca="1"/>
        <v>1</v>
      </c>
      <c r="F125" s="42">
        <f ca="1"/>
        <v>20.136299999999675</v>
      </c>
      <c r="G125" s="42">
        <f ca="1"/>
        <v>422.07809643010341</v>
      </c>
      <c r="H125" s="42">
        <f ca="1"/>
        <v>20.961055230112297</v>
      </c>
      <c r="I125" s="42" t="str">
        <f ca="1"/>
        <v>Mass Effect</v>
      </c>
      <c r="J125" s="43">
        <f ca="1"/>
        <v>1.1000000000000001</v>
      </c>
      <c r="O125" s="46" cm="1">
        <f t="array" aca="1" ref="O125:R136" ca="1">_xlfn._xlws.FILTER(Estimates_Effect_m_L[],Estimates_Effect_m_L[T / V]=$B$7)</f>
        <v>422.07809643010341</v>
      </c>
      <c r="P125" s="42">
        <f ca="1"/>
        <v>404.30238142696476</v>
      </c>
      <c r="Q125" s="42" t="str">
        <f ca="1"/>
        <v>Mass Effect</v>
      </c>
      <c r="R125" s="43">
        <f ca="1"/>
        <v>4.2114753533727463</v>
      </c>
    </row>
    <row r="126" spans="1:27" x14ac:dyDescent="0.3">
      <c r="A126" s="47" t="str">
        <f ca="1"/>
        <v>RT8 (15mm)</v>
      </c>
      <c r="B126" s="44">
        <f ca="1"/>
        <v>170</v>
      </c>
      <c r="C126" s="44" t="str">
        <f ca="1"/>
        <v>Solidification</v>
      </c>
      <c r="D126" s="44">
        <f ca="1"/>
        <v>1</v>
      </c>
      <c r="E126" s="44">
        <f ca="1"/>
        <v>2</v>
      </c>
      <c r="F126" s="44">
        <f ca="1"/>
        <v>20.233381415732683</v>
      </c>
      <c r="G126" s="44">
        <f ca="1"/>
        <v>404.99093146994852</v>
      </c>
      <c r="H126" s="44">
        <f ca="1"/>
        <v>20.015978701169711</v>
      </c>
      <c r="I126" s="44" t="str">
        <f ca="1"/>
        <v>Mass Effect</v>
      </c>
      <c r="J126" s="45">
        <f ca="1"/>
        <v>1.1000000000000001</v>
      </c>
      <c r="O126" s="47">
        <f ca="1"/>
        <v>404.99093146994852</v>
      </c>
      <c r="P126" s="44">
        <f ca="1"/>
        <v>406.25160981416383</v>
      </c>
      <c r="Q126" s="44" t="str">
        <f ca="1"/>
        <v>Mass Effect</v>
      </c>
      <c r="R126" s="45">
        <f ca="1"/>
        <v>0.31128557363977749</v>
      </c>
    </row>
    <row r="127" spans="1:27" x14ac:dyDescent="0.3">
      <c r="A127" s="47" t="str">
        <f ca="1"/>
        <v>RT8 (15mm)</v>
      </c>
      <c r="B127" s="44">
        <f ca="1"/>
        <v>170</v>
      </c>
      <c r="C127" s="44" t="str">
        <f ca="1"/>
        <v>Solidification</v>
      </c>
      <c r="D127" s="44">
        <f ca="1"/>
        <v>1</v>
      </c>
      <c r="E127" s="44">
        <f ca="1"/>
        <v>3</v>
      </c>
      <c r="F127" s="44">
        <f ca="1"/>
        <v>21.178307900317577</v>
      </c>
      <c r="G127" s="44">
        <f ca="1"/>
        <v>403.6620200942827</v>
      </c>
      <c r="H127" s="44">
        <f ca="1"/>
        <v>19.060163918394522</v>
      </c>
      <c r="I127" s="44" t="str">
        <f ca="1"/>
        <v>Mass Effect</v>
      </c>
      <c r="J127" s="45">
        <f ca="1"/>
        <v>1.1000000000000001</v>
      </c>
      <c r="O127" s="47">
        <f ca="1"/>
        <v>403.6620200942827</v>
      </c>
      <c r="P127" s="44">
        <f ca="1"/>
        <v>425.22411360041497</v>
      </c>
      <c r="Q127" s="44" t="str">
        <f ca="1"/>
        <v>Mass Effect</v>
      </c>
      <c r="R127" s="45">
        <f ca="1"/>
        <v>5.3416205718576268</v>
      </c>
    </row>
    <row r="128" spans="1:27" x14ac:dyDescent="0.3">
      <c r="A128" s="47" t="str">
        <f ca="1"/>
        <v>RT8 (15mm)</v>
      </c>
      <c r="B128" s="44">
        <f ca="1"/>
        <v>170</v>
      </c>
      <c r="C128" s="44" t="str">
        <f ca="1"/>
        <v>Melting</v>
      </c>
      <c r="D128" s="44">
        <f ca="1"/>
        <v>1</v>
      </c>
      <c r="E128" s="44">
        <f ca="1"/>
        <v>1</v>
      </c>
      <c r="F128" s="44">
        <f ca="1"/>
        <v>14.619000000000637</v>
      </c>
      <c r="G128" s="44">
        <f ca="1"/>
        <v>301.61215956541196</v>
      </c>
      <c r="H128" s="44">
        <f ca="1"/>
        <v>20.631517857951902</v>
      </c>
      <c r="I128" s="44" t="str">
        <f ca="1"/>
        <v>Mass Effect</v>
      </c>
      <c r="J128" s="45">
        <f ca="1"/>
        <v>1.1000000000000001</v>
      </c>
      <c r="O128" s="47">
        <f ca="1"/>
        <v>301.61215956541196</v>
      </c>
      <c r="P128" s="44">
        <f ca="1"/>
        <v>293.52445653278659</v>
      </c>
      <c r="Q128" s="44" t="str">
        <f ca="1"/>
        <v>Mass Effect</v>
      </c>
      <c r="R128" s="45">
        <f ca="1"/>
        <v>2.6814910394457603</v>
      </c>
    </row>
    <row r="129" spans="1:27" x14ac:dyDescent="0.3">
      <c r="A129" s="47" t="str">
        <f ca="1"/>
        <v>RT8 (15mm)</v>
      </c>
      <c r="B129" s="44">
        <f ca="1"/>
        <v>170</v>
      </c>
      <c r="C129" s="44" t="str">
        <f ca="1"/>
        <v>Melting</v>
      </c>
      <c r="D129" s="44">
        <f ca="1"/>
        <v>1</v>
      </c>
      <c r="E129" s="44">
        <f ca="1"/>
        <v>2</v>
      </c>
      <c r="F129" s="44">
        <f ca="1"/>
        <v>17.935800000001304</v>
      </c>
      <c r="G129" s="44">
        <f ca="1"/>
        <v>365.21590909090946</v>
      </c>
      <c r="H129" s="44">
        <f ca="1"/>
        <v>20.36239861566715</v>
      </c>
      <c r="I129" s="44" t="str">
        <f ca="1"/>
        <v>Mass Effect</v>
      </c>
      <c r="J129" s="45">
        <f ca="1"/>
        <v>1.1000000000000001</v>
      </c>
      <c r="O129" s="47">
        <f ca="1"/>
        <v>365.21590909090946</v>
      </c>
      <c r="P129" s="44">
        <f ca="1"/>
        <v>360.12011406258341</v>
      </c>
      <c r="Q129" s="44" t="str">
        <f ca="1"/>
        <v>Mass Effect</v>
      </c>
      <c r="R129" s="45">
        <f ca="1"/>
        <v>1.3952828728108906</v>
      </c>
    </row>
    <row r="130" spans="1:27" x14ac:dyDescent="0.3">
      <c r="A130" s="47" t="str">
        <f ca="1"/>
        <v>RT8 (15mm)</v>
      </c>
      <c r="B130" s="44">
        <f ca="1"/>
        <v>170</v>
      </c>
      <c r="C130" s="44" t="str">
        <f ca="1"/>
        <v>Melting</v>
      </c>
      <c r="D130" s="44">
        <f ca="1"/>
        <v>1</v>
      </c>
      <c r="E130" s="44">
        <f ca="1"/>
        <v>3</v>
      </c>
      <c r="F130" s="44">
        <f ca="1"/>
        <v>17.970455508345797</v>
      </c>
      <c r="G130" s="44">
        <f ca="1"/>
        <v>340.37905812139587</v>
      </c>
      <c r="H130" s="44">
        <f ca="1"/>
        <v>18.941036745747365</v>
      </c>
      <c r="I130" s="44" t="str">
        <f ca="1"/>
        <v>Mass Effect</v>
      </c>
      <c r="J130" s="45">
        <f ca="1"/>
        <v>1.1000000000000001</v>
      </c>
      <c r="O130" s="47">
        <f ca="1"/>
        <v>340.37905812139587</v>
      </c>
      <c r="P130" s="44">
        <f ca="1"/>
        <v>360.81593725518786</v>
      </c>
      <c r="Q130" s="44" t="str">
        <f ca="1"/>
        <v>Mass Effect</v>
      </c>
      <c r="R130" s="45">
        <f ca="1"/>
        <v>6.0041529131040718</v>
      </c>
    </row>
    <row r="131" spans="1:27" x14ac:dyDescent="0.3">
      <c r="A131" s="47" t="str">
        <f ca="1"/>
        <v>RT8 (15mm)</v>
      </c>
      <c r="B131" s="44">
        <f ca="1"/>
        <v>170</v>
      </c>
      <c r="C131" s="44" t="str">
        <f ca="1"/>
        <v>Solidification</v>
      </c>
      <c r="D131" s="44">
        <f ca="1"/>
        <v>0.5</v>
      </c>
      <c r="E131" s="44">
        <f ca="1"/>
        <v>1</v>
      </c>
      <c r="F131" s="44">
        <f ca="1"/>
        <v>19.795800000000789</v>
      </c>
      <c r="G131" s="44">
        <f ca="1"/>
        <v>417.0263999999998</v>
      </c>
      <c r="H131" s="44">
        <f ca="1"/>
        <v>21.066408025944046</v>
      </c>
      <c r="I131" s="44" t="str">
        <f ca="1"/>
        <v>Mass Effect</v>
      </c>
      <c r="J131" s="45">
        <f ca="1"/>
        <v>1.1000000000000001</v>
      </c>
      <c r="O131" s="47">
        <f ca="1"/>
        <v>417.0263999999998</v>
      </c>
      <c r="P131" s="44">
        <f ca="1"/>
        <v>397.4657251954111</v>
      </c>
      <c r="Q131" s="44" t="str">
        <f ca="1"/>
        <v>Mass Effect</v>
      </c>
      <c r="R131" s="45">
        <f ca="1"/>
        <v>4.6905123523567598</v>
      </c>
    </row>
    <row r="132" spans="1:27" x14ac:dyDescent="0.3">
      <c r="A132" s="47" t="str">
        <f ca="1"/>
        <v>RT8 (15mm)</v>
      </c>
      <c r="B132" s="44">
        <f ca="1"/>
        <v>170</v>
      </c>
      <c r="C132" s="44" t="str">
        <f ca="1"/>
        <v>Solidification</v>
      </c>
      <c r="D132" s="44">
        <f ca="1"/>
        <v>0.5</v>
      </c>
      <c r="E132" s="44">
        <f ca="1"/>
        <v>2</v>
      </c>
      <c r="F132" s="44">
        <f ca="1"/>
        <v>18.948021681361006</v>
      </c>
      <c r="G132" s="44">
        <f ca="1"/>
        <v>412.3936411407775</v>
      </c>
      <c r="H132" s="44">
        <f ca="1"/>
        <v>21.764469561824775</v>
      </c>
      <c r="I132" s="44" t="str">
        <f ca="1"/>
        <v>Mass Effect</v>
      </c>
      <c r="J132" s="45">
        <f ca="1"/>
        <v>1.1000000000000001</v>
      </c>
      <c r="O132" s="47">
        <f ca="1"/>
        <v>412.3936411407775</v>
      </c>
      <c r="P132" s="44">
        <f ca="1"/>
        <v>380.44379002617853</v>
      </c>
      <c r="Q132" s="44" t="str">
        <f ca="1"/>
        <v>Mass Effect</v>
      </c>
      <c r="R132" s="45">
        <f ca="1"/>
        <v>7.7474160431325254</v>
      </c>
    </row>
    <row r="133" spans="1:27" x14ac:dyDescent="0.3">
      <c r="A133" s="47" t="str">
        <f ca="1"/>
        <v>RT8 (15mm)</v>
      </c>
      <c r="B133" s="44">
        <f ca="1"/>
        <v>170</v>
      </c>
      <c r="C133" s="44" t="str">
        <f ca="1"/>
        <v>Solidification</v>
      </c>
      <c r="D133" s="44">
        <f ca="1"/>
        <v>0.5</v>
      </c>
      <c r="E133" s="44">
        <f ca="1"/>
        <v>3</v>
      </c>
      <c r="F133" s="44">
        <f ca="1"/>
        <v>16.33920000000073</v>
      </c>
      <c r="G133" s="44">
        <f ca="1"/>
        <v>353.55864367151293</v>
      </c>
      <c r="H133" s="44">
        <f ca="1"/>
        <v>21.63867531283644</v>
      </c>
      <c r="I133" s="44" t="str">
        <f ca="1"/>
        <v>Mass Effect</v>
      </c>
      <c r="J133" s="45">
        <f ca="1"/>
        <v>1.1000000000000001</v>
      </c>
      <c r="O133" s="47">
        <f ca="1"/>
        <v>353.55864367151293</v>
      </c>
      <c r="P133" s="44">
        <f ca="1"/>
        <v>328.06312334499705</v>
      </c>
      <c r="Q133" s="44" t="str">
        <f ca="1"/>
        <v>Mass Effect</v>
      </c>
      <c r="R133" s="45">
        <f ca="1"/>
        <v>7.2111149827250305</v>
      </c>
    </row>
    <row r="134" spans="1:27" x14ac:dyDescent="0.3">
      <c r="A134" s="47" t="str">
        <f ca="1"/>
        <v>RT8 (15mm)</v>
      </c>
      <c r="B134" s="44">
        <f ca="1"/>
        <v>170</v>
      </c>
      <c r="C134" s="44" t="str">
        <f ca="1"/>
        <v>Melting</v>
      </c>
      <c r="D134" s="44">
        <f ca="1"/>
        <v>0.5</v>
      </c>
      <c r="E134" s="44">
        <f ca="1"/>
        <v>1</v>
      </c>
      <c r="F134" s="44">
        <f ca="1"/>
        <v>16.090530088193475</v>
      </c>
      <c r="G134" s="44">
        <f ca="1"/>
        <v>334.92233180419038</v>
      </c>
      <c r="H134" s="44">
        <f ca="1"/>
        <v>20.814872472718701</v>
      </c>
      <c r="I134" s="44" t="str">
        <f ca="1"/>
        <v>Mass Effect</v>
      </c>
      <c r="J134" s="45">
        <f ca="1"/>
        <v>1.1000000000000001</v>
      </c>
      <c r="O134" s="47">
        <f ca="1"/>
        <v>334.92233180419038</v>
      </c>
      <c r="P134" s="44">
        <f ca="1"/>
        <v>323.07025784672237</v>
      </c>
      <c r="Q134" s="44" t="str">
        <f ca="1"/>
        <v>Mass Effect</v>
      </c>
      <c r="R134" s="45">
        <f ca="1"/>
        <v>3.5387529680753649</v>
      </c>
    </row>
    <row r="135" spans="1:27" s="2" customFormat="1" x14ac:dyDescent="0.3">
      <c r="A135" s="47" t="str">
        <f ca="1"/>
        <v>RT8 (15mm)</v>
      </c>
      <c r="B135" s="44">
        <f ca="1"/>
        <v>170</v>
      </c>
      <c r="C135" s="44" t="str">
        <f ca="1"/>
        <v>Melting</v>
      </c>
      <c r="D135" s="44">
        <f ca="1"/>
        <v>0.5</v>
      </c>
      <c r="E135" s="44">
        <f ca="1"/>
        <v>2</v>
      </c>
      <c r="F135" s="44">
        <f ca="1"/>
        <v>14.901658243472077</v>
      </c>
      <c r="G135" s="44">
        <f ca="1"/>
        <v>299.1960258608637</v>
      </c>
      <c r="H135" s="44">
        <f ca="1"/>
        <v>20.078035677132213</v>
      </c>
      <c r="I135" s="44" t="str">
        <f ca="1"/>
        <v>Mass Effect</v>
      </c>
      <c r="J135" s="45">
        <f ca="1"/>
        <v>1.1000000000000001</v>
      </c>
      <c r="K135" s="3"/>
      <c r="L135" s="3"/>
      <c r="M135" s="8"/>
      <c r="N135" s="3"/>
      <c r="O135" s="47">
        <f ca="1"/>
        <v>299.1960258608637</v>
      </c>
      <c r="P135" s="44">
        <f ca="1"/>
        <v>299.19974945976264</v>
      </c>
      <c r="Q135" s="44" t="str">
        <f ca="1"/>
        <v>Mass Effect</v>
      </c>
      <c r="R135" s="45">
        <f ca="1"/>
        <v>1.2445348791749297E-3</v>
      </c>
      <c r="V135"/>
      <c r="W135"/>
      <c r="X135"/>
      <c r="Y135"/>
      <c r="Z135"/>
      <c r="AA135"/>
    </row>
    <row r="136" spans="1:27" s="2" customFormat="1" x14ac:dyDescent="0.3">
      <c r="A136" s="48" t="str">
        <f ca="1"/>
        <v>RT8 (15mm)</v>
      </c>
      <c r="B136" s="49">
        <f ca="1"/>
        <v>170</v>
      </c>
      <c r="C136" s="49" t="str">
        <f ca="1"/>
        <v>Melting</v>
      </c>
      <c r="D136" s="49">
        <f ca="1"/>
        <v>0.5</v>
      </c>
      <c r="E136" s="49">
        <f ca="1"/>
        <v>3</v>
      </c>
      <c r="F136" s="49">
        <f ca="1"/>
        <v>15.294906027162751</v>
      </c>
      <c r="G136" s="49">
        <f ca="1"/>
        <v>318.35937208508204</v>
      </c>
      <c r="H136" s="49">
        <f ca="1"/>
        <v>20.814732141518011</v>
      </c>
      <c r="I136" s="49" t="str">
        <f ca="1"/>
        <v>Mass Effect</v>
      </c>
      <c r="J136" s="50">
        <f ca="1"/>
        <v>1.1000000000000001</v>
      </c>
      <c r="K136" s="3"/>
      <c r="L136" s="3"/>
      <c r="M136" s="8"/>
      <c r="N136" s="3"/>
      <c r="O136" s="48">
        <f ca="1"/>
        <v>318.35937208508204</v>
      </c>
      <c r="P136" s="49">
        <f ca="1"/>
        <v>307.09549075468863</v>
      </c>
      <c r="Q136" s="49" t="str">
        <f ca="1"/>
        <v>Mass Effect</v>
      </c>
      <c r="R136" s="50">
        <f ca="1"/>
        <v>3.5381026343346118</v>
      </c>
      <c r="V136"/>
      <c r="W136"/>
      <c r="X136"/>
      <c r="Y136"/>
      <c r="Z136"/>
      <c r="AA136"/>
    </row>
    <row r="137" spans="1:27" s="2" customFormat="1" x14ac:dyDescent="0.3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3"/>
      <c r="L137" s="3"/>
      <c r="M137" s="8"/>
      <c r="N137" s="3"/>
      <c r="O137" s="44"/>
      <c r="P137" s="44"/>
      <c r="Q137" s="44"/>
      <c r="R137" s="44"/>
      <c r="V137"/>
      <c r="W137"/>
      <c r="X137"/>
      <c r="Y137"/>
      <c r="Z137"/>
      <c r="AA137"/>
    </row>
    <row r="138" spans="1:27" s="2" customFormat="1" x14ac:dyDescent="0.3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3"/>
      <c r="L138" s="3"/>
      <c r="M138" s="8"/>
      <c r="N138" s="3"/>
      <c r="O138" s="3"/>
      <c r="P138" s="3"/>
      <c r="Q138" s="3"/>
      <c r="R138" s="3"/>
      <c r="V138"/>
      <c r="W138"/>
      <c r="X138"/>
      <c r="Y138"/>
      <c r="Z138"/>
      <c r="AA138"/>
    </row>
    <row r="139" spans="1:27" s="2" customFormat="1" x14ac:dyDescent="0.3">
      <c r="A139" s="56" t="str" cm="1">
        <f t="array" aca="1" ref="A139:J150" ca="1">_xlfn._xlws.FILTER(Data_Effect_m_L[],Data_Effect_m_L[T / V]=$B$8)</f>
        <v>RT18</v>
      </c>
      <c r="B139" s="58">
        <f ca="1"/>
        <v>230</v>
      </c>
      <c r="C139" s="58" t="str">
        <f ca="1"/>
        <v>Solidification</v>
      </c>
      <c r="D139" s="58">
        <f ca="1"/>
        <v>1</v>
      </c>
      <c r="E139" s="58">
        <f ca="1"/>
        <v>1</v>
      </c>
      <c r="F139" s="58">
        <f ca="1"/>
        <v>26.190323511765527</v>
      </c>
      <c r="G139" s="58">
        <f ca="1"/>
        <v>521.36237802390303</v>
      </c>
      <c r="H139" s="58">
        <f ca="1"/>
        <v>19.906679571548263</v>
      </c>
      <c r="I139" s="58" t="str">
        <f ca="1"/>
        <v>Latent Heat Effect</v>
      </c>
      <c r="J139" s="59">
        <f ca="1"/>
        <v>1.2</v>
      </c>
      <c r="K139" s="3"/>
      <c r="L139" s="3"/>
      <c r="M139" s="8"/>
      <c r="N139" s="3"/>
      <c r="O139" s="56" cm="1">
        <f t="array" aca="1" ref="O139:R150" ca="1">_xlfn._xlws.FILTER(Estimates_Effect_m_L[],Estimates_Effect_m_L[T / V]=$B$8)</f>
        <v>521.36237802390303</v>
      </c>
      <c r="P139" s="58">
        <f ca="1"/>
        <v>525.85679425463468</v>
      </c>
      <c r="Q139" s="58" t="str">
        <f ca="1"/>
        <v>Latent Heat Effect</v>
      </c>
      <c r="R139" s="59">
        <f ca="1"/>
        <v>0.86205227307858956</v>
      </c>
      <c r="V139"/>
      <c r="W139"/>
      <c r="X139"/>
      <c r="Y139"/>
      <c r="Z139"/>
      <c r="AA139"/>
    </row>
    <row r="140" spans="1:27" s="2" customFormat="1" x14ac:dyDescent="0.3">
      <c r="A140" s="60" t="str">
        <f ca="1"/>
        <v>RT18</v>
      </c>
      <c r="B140" s="57">
        <f ca="1"/>
        <v>230</v>
      </c>
      <c r="C140" s="57" t="str">
        <f ca="1"/>
        <v>Solidification</v>
      </c>
      <c r="D140" s="57">
        <f ca="1"/>
        <v>1</v>
      </c>
      <c r="E140" s="57">
        <f ca="1"/>
        <v>2</v>
      </c>
      <c r="F140" s="57">
        <f ca="1"/>
        <v>27.339335607030392</v>
      </c>
      <c r="G140" s="57">
        <f ca="1"/>
        <v>517.33538910520599</v>
      </c>
      <c r="H140" s="57">
        <f ca="1"/>
        <v>18.922749131188528</v>
      </c>
      <c r="I140" s="57" t="str">
        <f ca="1"/>
        <v>Latent Heat Effect</v>
      </c>
      <c r="J140" s="61">
        <f ca="1"/>
        <v>1.2</v>
      </c>
      <c r="K140" s="3"/>
      <c r="L140" s="3"/>
      <c r="M140" s="8"/>
      <c r="N140" s="3"/>
      <c r="O140" s="60">
        <f ca="1"/>
        <v>517.33538910520599</v>
      </c>
      <c r="P140" s="57">
        <f ca="1"/>
        <v>548.92698720984379</v>
      </c>
      <c r="Q140" s="57" t="str">
        <f ca="1"/>
        <v>Latent Heat Effect</v>
      </c>
      <c r="R140" s="61">
        <f ca="1"/>
        <v>6.106599078651719</v>
      </c>
      <c r="V140"/>
      <c r="W140"/>
      <c r="X140"/>
      <c r="Y140"/>
      <c r="Z140"/>
      <c r="AA140"/>
    </row>
    <row r="141" spans="1:27" s="2" customFormat="1" x14ac:dyDescent="0.3">
      <c r="A141" s="60" t="str">
        <f ca="1"/>
        <v>RT18</v>
      </c>
      <c r="B141" s="57">
        <f ca="1"/>
        <v>230</v>
      </c>
      <c r="C141" s="57" t="str">
        <f ca="1"/>
        <v>Solidification</v>
      </c>
      <c r="D141" s="57">
        <f ca="1"/>
        <v>1</v>
      </c>
      <c r="E141" s="57">
        <f ca="1"/>
        <v>3</v>
      </c>
      <c r="F141" s="57">
        <f ca="1"/>
        <v>25.152330906320181</v>
      </c>
      <c r="G141" s="57">
        <f ca="1"/>
        <v>531.35713106848095</v>
      </c>
      <c r="H141" s="57">
        <f ca="1"/>
        <v>21.125562201273503</v>
      </c>
      <c r="I141" s="57" t="str">
        <f ca="1"/>
        <v>Latent Heat Effect</v>
      </c>
      <c r="J141" s="61">
        <f ca="1"/>
        <v>1.2</v>
      </c>
      <c r="K141" s="3"/>
      <c r="L141" s="3"/>
      <c r="M141" s="8"/>
      <c r="N141" s="3"/>
      <c r="O141" s="60">
        <f ca="1"/>
        <v>531.35713106848095</v>
      </c>
      <c r="P141" s="57">
        <f ca="1"/>
        <v>505.01568231822426</v>
      </c>
      <c r="Q141" s="57" t="str">
        <f ca="1"/>
        <v>Latent Heat Effect</v>
      </c>
      <c r="R141" s="61">
        <f ca="1"/>
        <v>4.9573906531164669</v>
      </c>
      <c r="V141"/>
      <c r="W141"/>
      <c r="X141"/>
      <c r="Y141"/>
      <c r="Z141"/>
      <c r="AA141"/>
    </row>
    <row r="142" spans="1:27" s="2" customFormat="1" x14ac:dyDescent="0.3">
      <c r="A142" s="60" t="str">
        <f ca="1"/>
        <v>RT18</v>
      </c>
      <c r="B142" s="57">
        <f ca="1"/>
        <v>230</v>
      </c>
      <c r="C142" s="57" t="str">
        <f ca="1"/>
        <v>Melting</v>
      </c>
      <c r="D142" s="57">
        <f ca="1"/>
        <v>1</v>
      </c>
      <c r="E142" s="57">
        <f ca="1"/>
        <v>1</v>
      </c>
      <c r="F142" s="57">
        <f ca="1"/>
        <v>27.071048094113479</v>
      </c>
      <c r="G142" s="57">
        <f ca="1"/>
        <v>497.44749309176234</v>
      </c>
      <c r="H142" s="57">
        <f ca="1"/>
        <v>18.37562739951435</v>
      </c>
      <c r="I142" s="57" t="str">
        <f ca="1"/>
        <v>Latent Heat Effect</v>
      </c>
      <c r="J142" s="61">
        <f ca="1"/>
        <v>1.2</v>
      </c>
      <c r="K142" s="3"/>
      <c r="L142" s="3"/>
      <c r="M142" s="8"/>
      <c r="N142" s="3"/>
      <c r="O142" s="60">
        <f ca="1"/>
        <v>497.44749309176234</v>
      </c>
      <c r="P142" s="57">
        <f ca="1"/>
        <v>543.54023391457974</v>
      </c>
      <c r="Q142" s="57" t="str">
        <f ca="1"/>
        <v>Latent Heat Effect</v>
      </c>
      <c r="R142" s="61">
        <f ca="1"/>
        <v>9.265850459178985</v>
      </c>
      <c r="V142"/>
      <c r="W142"/>
      <c r="X142"/>
      <c r="Y142"/>
      <c r="Z142"/>
      <c r="AA142"/>
    </row>
    <row r="143" spans="1:27" s="2" customFormat="1" x14ac:dyDescent="0.3">
      <c r="A143" s="60" t="str">
        <f ca="1"/>
        <v>RT18</v>
      </c>
      <c r="B143" s="57">
        <f ca="1"/>
        <v>230</v>
      </c>
      <c r="C143" s="57" t="str">
        <f ca="1"/>
        <v>Melting</v>
      </c>
      <c r="D143" s="57">
        <f ca="1"/>
        <v>1</v>
      </c>
      <c r="E143" s="57">
        <f ca="1"/>
        <v>2</v>
      </c>
      <c r="F143" s="57">
        <f ca="1"/>
        <v>22.284430163528512</v>
      </c>
      <c r="G143" s="57">
        <f ca="1"/>
        <v>438.58518732334858</v>
      </c>
      <c r="H143" s="57">
        <f ca="1"/>
        <v>19.681238609419442</v>
      </c>
      <c r="I143" s="57" t="str">
        <f ca="1"/>
        <v>Latent Heat Effect</v>
      </c>
      <c r="J143" s="61">
        <f ca="1"/>
        <v>1.2</v>
      </c>
      <c r="K143" s="3"/>
      <c r="L143" s="3"/>
      <c r="M143" s="8"/>
      <c r="N143" s="3"/>
      <c r="O143" s="60">
        <f ca="1"/>
        <v>438.58518732334858</v>
      </c>
      <c r="P143" s="57">
        <f ca="1"/>
        <v>447.43315226022696</v>
      </c>
      <c r="Q143" s="57" t="str">
        <f ca="1"/>
        <v>Latent Heat Effect</v>
      </c>
      <c r="R143" s="61">
        <f ca="1"/>
        <v>2.0173879995530237</v>
      </c>
      <c r="V143"/>
      <c r="W143"/>
      <c r="X143"/>
      <c r="Y143"/>
      <c r="Z143"/>
      <c r="AA143"/>
    </row>
    <row r="144" spans="1:27" s="2" customFormat="1" x14ac:dyDescent="0.3">
      <c r="A144" s="60" t="str">
        <f ca="1"/>
        <v>RT18</v>
      </c>
      <c r="B144" s="57">
        <f ca="1"/>
        <v>230</v>
      </c>
      <c r="C144" s="57" t="str">
        <f ca="1"/>
        <v>Melting</v>
      </c>
      <c r="D144" s="57">
        <f ca="1"/>
        <v>1</v>
      </c>
      <c r="E144" s="57">
        <f ca="1"/>
        <v>3</v>
      </c>
      <c r="F144" s="57">
        <f ca="1"/>
        <v>26.999051764701608</v>
      </c>
      <c r="G144" s="57">
        <f ca="1"/>
        <v>498.93304243764453</v>
      </c>
      <c r="H144" s="57">
        <f ca="1"/>
        <v>18.479650573874839</v>
      </c>
      <c r="I144" s="57" t="str">
        <f ca="1"/>
        <v>Latent Heat Effect</v>
      </c>
      <c r="J144" s="61">
        <f ca="1"/>
        <v>1.2</v>
      </c>
      <c r="K144" s="3"/>
      <c r="L144" s="3"/>
      <c r="M144" s="8"/>
      <c r="N144" s="3"/>
      <c r="O144" s="60">
        <f ca="1"/>
        <v>498.93304243764453</v>
      </c>
      <c r="P144" s="57">
        <f ca="1"/>
        <v>542.0946710537155</v>
      </c>
      <c r="Q144" s="57" t="str">
        <f ca="1"/>
        <v>Latent Heat Effect</v>
      </c>
      <c r="R144" s="61">
        <f ca="1"/>
        <v>8.6507857658004692</v>
      </c>
      <c r="V144"/>
      <c r="W144"/>
      <c r="X144"/>
      <c r="Y144"/>
      <c r="Z144"/>
      <c r="AA144"/>
    </row>
    <row r="145" spans="1:27" s="2" customFormat="1" x14ac:dyDescent="0.3">
      <c r="A145" s="60" t="str">
        <f ca="1"/>
        <v>RT18</v>
      </c>
      <c r="B145" s="57">
        <f ca="1"/>
        <v>230</v>
      </c>
      <c r="C145" s="57" t="str">
        <f ca="1"/>
        <v>Solidification</v>
      </c>
      <c r="D145" s="57">
        <f ca="1"/>
        <v>0.5</v>
      </c>
      <c r="E145" s="57">
        <f ca="1"/>
        <v>1</v>
      </c>
      <c r="F145" s="57">
        <f ca="1"/>
        <v>25.133748384813632</v>
      </c>
      <c r="G145" s="57">
        <f ca="1"/>
        <v>559.05236689916728</v>
      </c>
      <c r="H145" s="57">
        <f ca="1"/>
        <v>22.243095551834166</v>
      </c>
      <c r="I145" s="57" t="str">
        <f ca="1"/>
        <v>Latent Heat Effect</v>
      </c>
      <c r="J145" s="61">
        <f ca="1"/>
        <v>1.2</v>
      </c>
      <c r="K145" s="3"/>
      <c r="L145" s="3"/>
      <c r="M145" s="8"/>
      <c r="N145" s="3"/>
      <c r="O145" s="60">
        <f ca="1"/>
        <v>559.05236689916728</v>
      </c>
      <c r="P145" s="57">
        <f ca="1"/>
        <v>504.64257714507846</v>
      </c>
      <c r="Q145" s="57" t="str">
        <f ca="1"/>
        <v>Latent Heat Effect</v>
      </c>
      <c r="R145" s="61">
        <f ca="1"/>
        <v>9.7325032457831213</v>
      </c>
      <c r="V145"/>
      <c r="W145"/>
      <c r="X145"/>
      <c r="Y145"/>
      <c r="Z145"/>
      <c r="AA145"/>
    </row>
    <row r="146" spans="1:27" s="2" customFormat="1" x14ac:dyDescent="0.3">
      <c r="A146" s="60" t="str">
        <f ca="1"/>
        <v>RT18</v>
      </c>
      <c r="B146" s="57">
        <f ca="1"/>
        <v>230</v>
      </c>
      <c r="C146" s="57" t="str">
        <f ca="1"/>
        <v>Solidification</v>
      </c>
      <c r="D146" s="57">
        <f ca="1"/>
        <v>0.5</v>
      </c>
      <c r="E146" s="57">
        <f ca="1"/>
        <v>2</v>
      </c>
      <c r="F146" s="57">
        <f ca="1"/>
        <v>23.56542752499842</v>
      </c>
      <c r="G146" s="57">
        <f ca="1"/>
        <v>527.06882303249881</v>
      </c>
      <c r="H146" s="57">
        <f ca="1"/>
        <v>22.366189727446248</v>
      </c>
      <c r="I146" s="57" t="str">
        <f ca="1"/>
        <v>Latent Heat Effect</v>
      </c>
      <c r="J146" s="61">
        <f ca="1"/>
        <v>1.2</v>
      </c>
      <c r="K146" s="3"/>
      <c r="L146" s="3"/>
      <c r="M146" s="8"/>
      <c r="N146" s="3"/>
      <c r="O146" s="60">
        <f ca="1"/>
        <v>527.06882303249881</v>
      </c>
      <c r="P146" s="57">
        <f ca="1"/>
        <v>473.15338307939186</v>
      </c>
      <c r="Q146" s="57" t="str">
        <f ca="1"/>
        <v>Latent Heat Effect</v>
      </c>
      <c r="R146" s="61">
        <f ca="1"/>
        <v>10.2292978823721</v>
      </c>
      <c r="V146"/>
      <c r="W146"/>
      <c r="X146"/>
      <c r="Y146"/>
      <c r="Z146"/>
      <c r="AA146"/>
    </row>
    <row r="147" spans="1:27" s="2" customFormat="1" x14ac:dyDescent="0.3">
      <c r="A147" s="60" t="str">
        <f ca="1"/>
        <v>RT18</v>
      </c>
      <c r="B147" s="57">
        <f ca="1"/>
        <v>230</v>
      </c>
      <c r="C147" s="57" t="str">
        <f ca="1"/>
        <v>Solidification</v>
      </c>
      <c r="D147" s="57">
        <f ca="1"/>
        <v>0.5</v>
      </c>
      <c r="E147" s="57">
        <f ca="1"/>
        <v>3</v>
      </c>
      <c r="F147" s="57">
        <f ca="1"/>
        <v>24.450227664000003</v>
      </c>
      <c r="G147" s="57">
        <f ca="1"/>
        <v>552.97144175999995</v>
      </c>
      <c r="H147" s="57">
        <f ca="1"/>
        <v>22.6162083</v>
      </c>
      <c r="I147" s="57" t="str">
        <f ca="1"/>
        <v>Latent Heat Effect</v>
      </c>
      <c r="J147" s="61">
        <f ca="1"/>
        <v>1.2</v>
      </c>
      <c r="K147" s="3"/>
      <c r="L147" s="3"/>
      <c r="M147" s="8"/>
      <c r="N147" s="3"/>
      <c r="O147" s="60">
        <f ca="1"/>
        <v>552.97144175999995</v>
      </c>
      <c r="P147" s="57">
        <f ca="1"/>
        <v>490.9186529296253</v>
      </c>
      <c r="Q147" s="57" t="str">
        <f ca="1"/>
        <v>Latent Heat Effect</v>
      </c>
      <c r="R147" s="61">
        <f ca="1"/>
        <v>11.22169865280434</v>
      </c>
      <c r="V147"/>
      <c r="W147"/>
      <c r="X147"/>
      <c r="Y147"/>
      <c r="Z147"/>
      <c r="AA147"/>
    </row>
    <row r="148" spans="1:27" s="2" customFormat="1" x14ac:dyDescent="0.3">
      <c r="A148" s="60" t="str">
        <f ca="1"/>
        <v>RT18</v>
      </c>
      <c r="B148" s="57">
        <f ca="1"/>
        <v>230</v>
      </c>
      <c r="C148" s="57" t="str">
        <f ca="1"/>
        <v>Melting</v>
      </c>
      <c r="D148" s="57">
        <f ca="1"/>
        <v>0.5</v>
      </c>
      <c r="E148" s="57">
        <f ca="1"/>
        <v>1</v>
      </c>
      <c r="F148" s="57">
        <f ca="1"/>
        <v>22.067685978047887</v>
      </c>
      <c r="G148" s="57">
        <f ca="1"/>
        <v>530.44121365596561</v>
      </c>
      <c r="H148" s="57">
        <f ca="1"/>
        <v>24.037011138532094</v>
      </c>
      <c r="I148" s="57" t="str">
        <f ca="1"/>
        <v>Latent Heat Effect</v>
      </c>
      <c r="J148" s="61">
        <f ca="1"/>
        <v>1.2</v>
      </c>
      <c r="K148" s="3"/>
      <c r="L148" s="3"/>
      <c r="M148" s="8"/>
      <c r="N148" s="3"/>
      <c r="O148" s="60">
        <f ca="1"/>
        <v>530.44121365596561</v>
      </c>
      <c r="P148" s="57">
        <f ca="1"/>
        <v>443.0813006116984</v>
      </c>
      <c r="Q148" s="57" t="str">
        <f ca="1"/>
        <v>Latent Heat Effect</v>
      </c>
      <c r="R148" s="61">
        <f ca="1"/>
        <v>16.469292127992009</v>
      </c>
      <c r="V148"/>
      <c r="W148"/>
      <c r="X148"/>
      <c r="Y148"/>
      <c r="Z148"/>
      <c r="AA148"/>
    </row>
    <row r="149" spans="1:27" s="2" customFormat="1" x14ac:dyDescent="0.3">
      <c r="A149" s="60" t="str">
        <f ca="1"/>
        <v>RT18</v>
      </c>
      <c r="B149" s="57">
        <f ca="1"/>
        <v>230</v>
      </c>
      <c r="C149" s="57" t="str">
        <f ca="1"/>
        <v>Melting</v>
      </c>
      <c r="D149" s="57">
        <f ca="1"/>
        <v>0.5</v>
      </c>
      <c r="E149" s="57">
        <f ca="1"/>
        <v>2</v>
      </c>
      <c r="F149" s="57">
        <f ca="1"/>
        <v>22.836000000008426</v>
      </c>
      <c r="G149" s="57">
        <f ca="1"/>
        <v>554.20560000000489</v>
      </c>
      <c r="H149" s="57">
        <f ca="1"/>
        <v>24.268943772981274</v>
      </c>
      <c r="I149" s="57" t="str">
        <f ca="1"/>
        <v>Latent Heat Effect</v>
      </c>
      <c r="J149" s="61">
        <f ca="1"/>
        <v>1.2</v>
      </c>
      <c r="K149" s="3"/>
      <c r="L149" s="3"/>
      <c r="M149" s="8"/>
      <c r="N149" s="3"/>
      <c r="O149" s="60">
        <f ca="1"/>
        <v>554.20560000000489</v>
      </c>
      <c r="P149" s="57">
        <f ca="1"/>
        <v>458.50772894075487</v>
      </c>
      <c r="Q149" s="57" t="str">
        <f ca="1"/>
        <v>Latent Heat Effect</v>
      </c>
      <c r="R149" s="61">
        <f ca="1"/>
        <v>17.267575618010568</v>
      </c>
      <c r="V149"/>
      <c r="W149"/>
      <c r="X149"/>
      <c r="Y149"/>
      <c r="Z149"/>
      <c r="AA149"/>
    </row>
    <row r="150" spans="1:27" s="2" customFormat="1" x14ac:dyDescent="0.3">
      <c r="A150" s="62" t="str">
        <f ca="1"/>
        <v>RT18</v>
      </c>
      <c r="B150" s="63">
        <f ca="1"/>
        <v>230</v>
      </c>
      <c r="C150" s="63" t="str">
        <f ca="1"/>
        <v>Melting</v>
      </c>
      <c r="D150" s="63">
        <f ca="1"/>
        <v>0.5</v>
      </c>
      <c r="E150" s="63">
        <f ca="1"/>
        <v>3</v>
      </c>
      <c r="F150" s="63">
        <f ca="1"/>
        <v>22.422000000000001</v>
      </c>
      <c r="G150" s="63">
        <f ca="1"/>
        <v>526.93979999999988</v>
      </c>
      <c r="H150" s="63">
        <f ca="1"/>
        <v>23.50101686</v>
      </c>
      <c r="I150" s="63" t="str">
        <f ca="1"/>
        <v>Latent Heat Effect</v>
      </c>
      <c r="J150" s="64">
        <f ca="1"/>
        <v>1.2</v>
      </c>
      <c r="K150" s="3"/>
      <c r="L150" s="3"/>
      <c r="M150" s="8"/>
      <c r="N150" s="3"/>
      <c r="O150" s="62">
        <f ca="1"/>
        <v>526.93979999999988</v>
      </c>
      <c r="P150" s="63">
        <f ca="1"/>
        <v>450.19531872069592</v>
      </c>
      <c r="Q150" s="63" t="str">
        <f ca="1"/>
        <v>Latent Heat Effect</v>
      </c>
      <c r="R150" s="64">
        <f ca="1"/>
        <v>14.56418385540511</v>
      </c>
      <c r="V150"/>
      <c r="W150"/>
      <c r="X150"/>
      <c r="Y150"/>
      <c r="Z150"/>
      <c r="AA150"/>
    </row>
  </sheetData>
  <mergeCells count="2">
    <mergeCell ref="A1:M1"/>
    <mergeCell ref="O1:R1"/>
  </mergeCells>
  <phoneticPr fontId="13" type="noConversion"/>
  <conditionalFormatting sqref="I23:I111">
    <cfRule type="expression" dxfId="5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86E5-36DF-48F4-8919-C46BF2DEB9EF}">
  <dimension ref="A1:AA157"/>
  <sheetViews>
    <sheetView zoomScale="85" zoomScaleNormal="85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2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2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2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_xlfn.MAXIFS(Estimates_All[Error],Estimates_All[T / V],"Training")</f>
        <v>20.202281112334198</v>
      </c>
      <c r="R4" s="2"/>
      <c r="T4"/>
    </row>
    <row r="5" spans="1:22" x14ac:dyDescent="0.3">
      <c r="B5" s="11" t="s">
        <v>21</v>
      </c>
      <c r="C5" s="10">
        <v>0.7</v>
      </c>
      <c r="D5" s="10">
        <f>Training*D7</f>
        <v>42</v>
      </c>
      <c r="J5"/>
      <c r="K5"/>
      <c r="L5"/>
      <c r="M5" s="9"/>
      <c r="N5"/>
      <c r="O5" s="39"/>
      <c r="P5" s="2" t="s">
        <v>29</v>
      </c>
      <c r="Q5" s="3">
        <f ca="1">_xlfn.MINIFS(Estimates_All[Error],Estimates_All[T / V],"Training")</f>
        <v>0.2092929888101257</v>
      </c>
      <c r="R5" s="2"/>
      <c r="T5"/>
    </row>
    <row r="6" spans="1:22" x14ac:dyDescent="0.3">
      <c r="B6" s="12" t="s">
        <v>22</v>
      </c>
      <c r="C6" s="3">
        <f>1-C5</f>
        <v>0.30000000000000004</v>
      </c>
      <c r="D6" s="3">
        <f>Validation*D7</f>
        <v>18.000000000000004</v>
      </c>
      <c r="J6"/>
      <c r="K6"/>
      <c r="L6"/>
      <c r="M6" s="9"/>
      <c r="N6"/>
      <c r="O6" s="39"/>
      <c r="P6" s="2" t="s">
        <v>30</v>
      </c>
      <c r="Q6" s="3">
        <f ca="1">AVERAGEIFS(Estimates_All[Error],Estimates_All[T / V],"Training")</f>
        <v>6.6304722836860135</v>
      </c>
      <c r="R6" s="2"/>
      <c r="T6"/>
    </row>
    <row r="7" spans="1:22" x14ac:dyDescent="0.3">
      <c r="B7" s="13" t="s">
        <v>23</v>
      </c>
      <c r="C7" s="7">
        <v>1</v>
      </c>
      <c r="D7" s="7">
        <f>COUNT(Data_All[L])</f>
        <v>60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_xlfn.MAXIFS(Estimates_All[Error],Estimates_All[T / V],"Validation")</f>
        <v>15.750735123373721</v>
      </c>
      <c r="R7" s="2"/>
      <c r="T7"/>
    </row>
    <row r="8" spans="1:22" x14ac:dyDescent="0.3">
      <c r="J8"/>
      <c r="K8"/>
      <c r="L8"/>
      <c r="M8" s="9"/>
      <c r="N8"/>
      <c r="O8" s="39"/>
      <c r="P8" s="2" t="s">
        <v>29</v>
      </c>
      <c r="Q8" s="3">
        <f ca="1">_xlfn.MINIFS(Estimates_All[Error],Estimates_All[T / V],"Validation")</f>
        <v>0.76950351898003411</v>
      </c>
      <c r="R8" s="2"/>
      <c r="T8"/>
    </row>
    <row r="9" spans="1:22" x14ac:dyDescent="0.3">
      <c r="J9"/>
      <c r="K9"/>
      <c r="L9"/>
      <c r="M9" s="9"/>
      <c r="N9"/>
      <c r="O9" s="38"/>
      <c r="P9" s="4" t="s">
        <v>30</v>
      </c>
      <c r="Q9" s="7">
        <f ca="1">AVERAGEIFS(Estimates_All[Error],Estimates_All[T / V],"Validation")</f>
        <v>4.2712296518525736</v>
      </c>
      <c r="R9" s="2"/>
      <c r="T9"/>
    </row>
    <row r="10" spans="1:22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2" x14ac:dyDescent="0.3">
      <c r="B11" s="11" t="s">
        <v>15</v>
      </c>
      <c r="C11" s="3">
        <f ca="1">SUMPRODUCT(F84:F125,G84:G125)/SUMSQ(F84:F125)</f>
        <v>20.446406722058494</v>
      </c>
      <c r="J11"/>
      <c r="K11"/>
      <c r="L11"/>
      <c r="M11" s="9"/>
      <c r="N11"/>
      <c r="O11" s="39"/>
      <c r="P11" s="2"/>
      <c r="R11" s="2"/>
      <c r="T11"/>
    </row>
    <row r="12" spans="1:22" x14ac:dyDescent="0.3">
      <c r="B12" s="12" t="s">
        <v>14</v>
      </c>
      <c r="C12" s="3">
        <v>0</v>
      </c>
      <c r="G12"/>
      <c r="H12" s="2"/>
      <c r="I12"/>
      <c r="J12"/>
      <c r="K12"/>
      <c r="L12"/>
      <c r="M12" s="9"/>
      <c r="N12" s="73"/>
      <c r="O12" s="5"/>
      <c r="P12" s="5"/>
      <c r="Q12" s="40"/>
      <c r="R12" s="5"/>
      <c r="S12" s="5"/>
      <c r="T12" s="73"/>
      <c r="U12" s="5"/>
      <c r="V12" s="73"/>
    </row>
    <row r="13" spans="1:22" ht="16.2" x14ac:dyDescent="0.3">
      <c r="B13" s="13" t="s">
        <v>31</v>
      </c>
      <c r="C13" s="7">
        <f ca="1">1-SUMSQ(K73:K151)/SUMSQ(L73:L151)</f>
        <v>0.95542998053836647</v>
      </c>
      <c r="N13" s="5"/>
      <c r="O13" s="74"/>
      <c r="P13" s="5"/>
      <c r="Q13" s="40"/>
      <c r="R13" s="5"/>
      <c r="S13" s="5"/>
      <c r="T13" s="73"/>
      <c r="U13" s="5"/>
      <c r="V13" s="73"/>
    </row>
    <row r="14" spans="1:22" x14ac:dyDescent="0.3">
      <c r="N14" s="5"/>
      <c r="O14" s="40"/>
      <c r="P14" s="5"/>
      <c r="Q14" s="40"/>
      <c r="R14" s="5"/>
      <c r="S14" s="5"/>
      <c r="T14" s="73"/>
      <c r="U14" s="5"/>
      <c r="V14" s="73"/>
    </row>
    <row r="15" spans="1:22" x14ac:dyDescent="0.3">
      <c r="B15" s="51" t="s">
        <v>39</v>
      </c>
      <c r="N15" s="5"/>
      <c r="O15" s="15"/>
      <c r="P15" s="15"/>
      <c r="Q15" s="15"/>
      <c r="R15" s="15"/>
      <c r="S15" s="15"/>
      <c r="T15" s="16"/>
      <c r="U15" s="5"/>
      <c r="V15" s="73"/>
    </row>
    <row r="16" spans="1:22" ht="15.6" x14ac:dyDescent="0.35">
      <c r="B16" s="14" t="s">
        <v>40</v>
      </c>
      <c r="C16" s="14" t="s">
        <v>41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5"/>
      <c r="V16" s="73"/>
    </row>
    <row r="17" spans="1:27" x14ac:dyDescent="0.3">
      <c r="B17" s="10">
        <v>6</v>
      </c>
      <c r="C17" s="10">
        <f ca="1">B17*C11</f>
        <v>122.67844033235096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5"/>
      <c r="V17" s="73"/>
    </row>
    <row r="18" spans="1:27" x14ac:dyDescent="0.3">
      <c r="B18" s="7">
        <v>28</v>
      </c>
      <c r="C18" s="7">
        <f ca="1">B18*C11</f>
        <v>572.49938821763783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5"/>
      <c r="V18" s="73"/>
    </row>
    <row r="19" spans="1:27" x14ac:dyDescent="0.3">
      <c r="N19" s="40"/>
      <c r="O19" s="15"/>
      <c r="P19" s="15"/>
      <c r="Q19" s="15"/>
      <c r="R19" s="15"/>
      <c r="S19" s="15"/>
      <c r="T19" s="15"/>
      <c r="U19" s="5"/>
      <c r="V19" s="73"/>
    </row>
    <row r="20" spans="1:27" x14ac:dyDescent="0.3">
      <c r="N20" s="40"/>
      <c r="O20" s="15"/>
      <c r="P20" s="15"/>
      <c r="Q20" s="15"/>
      <c r="R20" s="15"/>
      <c r="S20" s="15"/>
      <c r="T20" s="15"/>
      <c r="U20" s="5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8</v>
      </c>
      <c r="B22" s="3">
        <v>170</v>
      </c>
      <c r="C22" s="3" t="s">
        <v>9</v>
      </c>
      <c r="D22" s="3">
        <v>0.5</v>
      </c>
      <c r="E22" s="3">
        <v>3</v>
      </c>
      <c r="F22" s="3">
        <v>7.7242423058830347</v>
      </c>
      <c r="G22" s="3">
        <v>178.55986063999978</v>
      </c>
      <c r="H22" s="3">
        <v>23.116812441785104</v>
      </c>
      <c r="I22" s="3" t="str">
        <f>IF(ROWS($I$22:I22)&lt;=n_T,"Training","Validation")</f>
        <v>Training</v>
      </c>
      <c r="J22" s="3">
        <f t="shared" ref="J22:J53" ca="1" si="0">RAND()</f>
        <v>0.56355947716623034</v>
      </c>
      <c r="K22" s="52"/>
      <c r="L22" s="52"/>
      <c r="O22" s="3">
        <f>Data_All[[#This Row],[A_q]]</f>
        <v>178.55986063999978</v>
      </c>
      <c r="P22" s="3">
        <f ca="1">Data_All[[#This Row],[A_T]]*$C$11</f>
        <v>157.93299980581548</v>
      </c>
      <c r="Q22" s="3" t="str">
        <f>Data_All[[#This Row],[T / V]]</f>
        <v>Training</v>
      </c>
      <c r="R22" s="3">
        <f ca="1">ABS((Estimates_All[[#This Row],[A_q predicted (b=0)]]-Estimates_All[[#This Row],[A_q measured]])/Estimates_All[[#This Row],[A_q measured]])*100</f>
        <v>11.551790396930679</v>
      </c>
      <c r="V22" s="2"/>
    </row>
    <row r="23" spans="1:27" x14ac:dyDescent="0.3">
      <c r="A23" s="3" t="s">
        <v>37</v>
      </c>
      <c r="B23" s="3">
        <v>170</v>
      </c>
      <c r="C23" s="3" t="s">
        <v>10</v>
      </c>
      <c r="D23" s="3">
        <v>1</v>
      </c>
      <c r="E23" s="3">
        <v>3</v>
      </c>
      <c r="F23" s="3">
        <v>17.970455508345797</v>
      </c>
      <c r="G23" s="3">
        <v>340.37905812139587</v>
      </c>
      <c r="H23" s="3">
        <v>18.941036745747365</v>
      </c>
      <c r="I23" s="3" t="str">
        <f>IF(ROWS($I$22:I23)&lt;=n_T,"Training","Validation")</f>
        <v>Training</v>
      </c>
      <c r="J23" s="3">
        <f t="shared" ca="1" si="0"/>
        <v>0.24761611945546669</v>
      </c>
      <c r="K23" s="52"/>
      <c r="L23" s="52"/>
      <c r="O23" s="3">
        <f>Data_All[[#This Row],[A_q]]</f>
        <v>340.37905812139587</v>
      </c>
      <c r="P23" s="3">
        <f ca="1">Data_All[[#This Row],[A_T]]*$C$11</f>
        <v>367.43124230429459</v>
      </c>
      <c r="Q23" s="3" t="str">
        <f>Data_All[[#This Row],[T / V]]</f>
        <v>Training</v>
      </c>
      <c r="R23" s="3">
        <f ca="1">ABS((Estimates_All[[#This Row],[A_q predicted (b=0)]]-Estimates_All[[#This Row],[A_q measured]])/Estimates_All[[#This Row],[A_q measured]])*100</f>
        <v>7.9476640931448186</v>
      </c>
    </row>
    <row r="24" spans="1:27" x14ac:dyDescent="0.3">
      <c r="A24" s="3" t="s">
        <v>12</v>
      </c>
      <c r="B24" s="3">
        <v>170</v>
      </c>
      <c r="C24" s="3" t="s">
        <v>10</v>
      </c>
      <c r="D24" s="3">
        <v>1</v>
      </c>
      <c r="E24" s="3">
        <v>3</v>
      </c>
      <c r="F24" s="3">
        <v>7.7994267951314553</v>
      </c>
      <c r="G24" s="3">
        <v>182.63889794765294</v>
      </c>
      <c r="H24" s="3">
        <v>23.416964187888716</v>
      </c>
      <c r="I24" s="3" t="str">
        <f>IF(ROWS($I$22:I24)&lt;=n_T,"Training","Validation")</f>
        <v>Training</v>
      </c>
      <c r="J24" s="3">
        <f t="shared" ca="1" si="0"/>
        <v>0.99202312879945054</v>
      </c>
      <c r="K24" s="52"/>
      <c r="L24" s="52"/>
      <c r="O24" s="3">
        <f>Data_All[[#This Row],[A_q]]</f>
        <v>182.63889794765294</v>
      </c>
      <c r="P24" s="3">
        <f ca="1">Data_All[[#This Row],[A_T]]*$C$11</f>
        <v>159.47025245217893</v>
      </c>
      <c r="Q24" s="3" t="str">
        <f>Data_All[[#This Row],[T / V]]</f>
        <v>Training</v>
      </c>
      <c r="R24" s="3">
        <f ca="1">ABS((Estimates_All[[#This Row],[A_q predicted (b=0)]]-Estimates_All[[#This Row],[A_q measured]])/Estimates_All[[#This Row],[A_q measured]])*100</f>
        <v>12.685493482398527</v>
      </c>
    </row>
    <row r="25" spans="1:27" x14ac:dyDescent="0.3">
      <c r="A25" s="3" t="s">
        <v>12</v>
      </c>
      <c r="B25" s="3">
        <v>170</v>
      </c>
      <c r="C25" s="3" t="s">
        <v>10</v>
      </c>
      <c r="D25" s="3">
        <v>0.5</v>
      </c>
      <c r="E25" s="3">
        <v>2</v>
      </c>
      <c r="F25" s="3">
        <v>11.275199999993378</v>
      </c>
      <c r="G25" s="3">
        <v>242.68199999999436</v>
      </c>
      <c r="H25" s="3">
        <v>21.523520647096007</v>
      </c>
      <c r="I25" s="3" t="str">
        <f>IF(ROWS($I$22:I25)&lt;=n_T,"Training","Validation")</f>
        <v>Training</v>
      </c>
      <c r="J25" s="3">
        <f t="shared" ca="1" si="0"/>
        <v>0.14456447774221026</v>
      </c>
      <c r="K25" s="52"/>
      <c r="L25" s="52"/>
      <c r="O25" s="3">
        <f>Data_All[[#This Row],[A_q]]</f>
        <v>242.68199999999436</v>
      </c>
      <c r="P25" s="3">
        <f ca="1">Data_All[[#This Row],[A_T]]*$C$11</f>
        <v>230.53732507241853</v>
      </c>
      <c r="Q25" s="3" t="str">
        <f>Data_All[[#This Row],[T / V]]</f>
        <v>Training</v>
      </c>
      <c r="R25" s="3">
        <f ca="1">ABS((Estimates_All[[#This Row],[A_q predicted (b=0)]]-Estimates_All[[#This Row],[A_q measured]])/Estimates_All[[#This Row],[A_q measured]])*100</f>
        <v>5.0043575244872374</v>
      </c>
    </row>
    <row r="26" spans="1:27" x14ac:dyDescent="0.3">
      <c r="A26" s="3" t="s">
        <v>8</v>
      </c>
      <c r="B26" s="3">
        <v>170</v>
      </c>
      <c r="C26" s="3" t="s">
        <v>9</v>
      </c>
      <c r="D26" s="3">
        <v>1</v>
      </c>
      <c r="E26" s="3">
        <v>1</v>
      </c>
      <c r="F26" s="3">
        <v>6.9743999999999957</v>
      </c>
      <c r="G26" s="3">
        <v>169.83240000000004</v>
      </c>
      <c r="H26" s="3">
        <v>24.350825877494856</v>
      </c>
      <c r="I26" s="3" t="str">
        <f>IF(ROWS($I$22:I26)&lt;=n_T,"Training","Validation")</f>
        <v>Training</v>
      </c>
      <c r="J26" s="3">
        <f t="shared" ca="1" si="0"/>
        <v>0.6454967019468596</v>
      </c>
      <c r="K26" s="52"/>
      <c r="L26" s="52"/>
      <c r="O26" s="3">
        <f>Data_All[[#This Row],[A_q]]</f>
        <v>169.83240000000004</v>
      </c>
      <c r="P26" s="3">
        <f ca="1">Data_All[[#This Row],[A_T]]*$C$11</f>
        <v>142.60141904232466</v>
      </c>
      <c r="Q26" s="3" t="str">
        <f>Data_All[[#This Row],[T / V]]</f>
        <v>Training</v>
      </c>
      <c r="R26" s="3">
        <f ca="1">ABS((Estimates_All[[#This Row],[A_q predicted (b=0)]]-Estimates_All[[#This Row],[A_q measured]])/Estimates_All[[#This Row],[A_q measured]])*100</f>
        <v>16.034031761710583</v>
      </c>
    </row>
    <row r="27" spans="1:27" x14ac:dyDescent="0.3">
      <c r="A27" s="3" t="s">
        <v>38</v>
      </c>
      <c r="B27" s="3">
        <v>230</v>
      </c>
      <c r="C27" s="3" t="s">
        <v>9</v>
      </c>
      <c r="D27" s="3">
        <v>0.5</v>
      </c>
      <c r="E27" s="3">
        <v>3</v>
      </c>
      <c r="F27" s="3">
        <v>24.450227664000003</v>
      </c>
      <c r="G27" s="3">
        <v>552.97144175999995</v>
      </c>
      <c r="H27" s="3">
        <v>22.6162083</v>
      </c>
      <c r="I27" s="3" t="str">
        <f>IF(ROWS($I$22:I27)&lt;=n_T,"Training","Validation")</f>
        <v>Training</v>
      </c>
      <c r="J27" s="3">
        <f t="shared" ca="1" si="0"/>
        <v>0.18679567915782647</v>
      </c>
      <c r="K27" s="52"/>
      <c r="L27" s="52"/>
      <c r="O27" s="3">
        <f>Data_All[[#This Row],[A_q]]</f>
        <v>552.97144175999995</v>
      </c>
      <c r="P27" s="3">
        <f ca="1">Data_All[[#This Row],[A_T]]*$C$11</f>
        <v>499.91929926507021</v>
      </c>
      <c r="Q27" s="3" t="str">
        <f>Data_All[[#This Row],[T / V]]</f>
        <v>Training</v>
      </c>
      <c r="R27" s="3">
        <f ca="1">ABS((Estimates_All[[#This Row],[A_q predicted (b=0)]]-Estimates_All[[#This Row],[A_q measured]])/Estimates_All[[#This Row],[A_q measured]])*100</f>
        <v>9.5940112795111343</v>
      </c>
    </row>
    <row r="28" spans="1:27" x14ac:dyDescent="0.3">
      <c r="A28" s="3" t="s">
        <v>11</v>
      </c>
      <c r="B28" s="3">
        <v>170</v>
      </c>
      <c r="C28" s="3" t="s">
        <v>10</v>
      </c>
      <c r="D28" s="3">
        <v>1</v>
      </c>
      <c r="E28" s="3">
        <v>3</v>
      </c>
      <c r="F28" s="3">
        <v>11.550733538461678</v>
      </c>
      <c r="G28" s="3">
        <v>217.6355087985477</v>
      </c>
      <c r="H28" s="3">
        <v>18.84170456134791</v>
      </c>
      <c r="I28" s="3" t="str">
        <f>IF(ROWS($I$22:I28)&lt;=n_T,"Training","Validation")</f>
        <v>Training</v>
      </c>
      <c r="J28" s="3">
        <f t="shared" ca="1" si="0"/>
        <v>0.37823555104426287</v>
      </c>
      <c r="K28" s="52"/>
      <c r="L28" s="52"/>
      <c r="O28" s="3">
        <f>Data_All[[#This Row],[A_q]]</f>
        <v>217.6355087985477</v>
      </c>
      <c r="P28" s="3">
        <f ca="1">Data_All[[#This Row],[A_T]]*$C$11</f>
        <v>236.17099586550935</v>
      </c>
      <c r="Q28" s="3" t="str">
        <f>Data_All[[#This Row],[T / V]]</f>
        <v>Training</v>
      </c>
      <c r="R28" s="3">
        <f ca="1">ABS((Estimates_All[[#This Row],[A_q predicted (b=0)]]-Estimates_All[[#This Row],[A_q measured]])/Estimates_All[[#This Row],[A_q measured]])*100</f>
        <v>8.5167568331502608</v>
      </c>
    </row>
    <row r="29" spans="1:27" x14ac:dyDescent="0.3">
      <c r="A29" s="3" t="s">
        <v>8</v>
      </c>
      <c r="B29" s="3">
        <v>170</v>
      </c>
      <c r="C29" s="3" t="s">
        <v>9</v>
      </c>
      <c r="D29" s="3">
        <v>0.5</v>
      </c>
      <c r="E29" s="3">
        <v>2</v>
      </c>
      <c r="F29" s="3">
        <v>8.9898000000008089</v>
      </c>
      <c r="G29" s="3">
        <v>184.20239999999984</v>
      </c>
      <c r="H29" s="3">
        <v>20.490155509575661</v>
      </c>
      <c r="I29" s="3" t="str">
        <f>IF(ROWS($I$22:I29)&lt;=n_T,"Training","Validation")</f>
        <v>Training</v>
      </c>
      <c r="J29" s="3">
        <f t="shared" ca="1" si="0"/>
        <v>0.98972196436145199</v>
      </c>
      <c r="K29" s="52"/>
      <c r="L29" s="52"/>
      <c r="O29" s="3">
        <f>Data_All[[#This Row],[A_q]]</f>
        <v>184.20239999999984</v>
      </c>
      <c r="P29" s="3">
        <f ca="1">Data_All[[#This Row],[A_T]]*$C$11</f>
        <v>183.80910714997799</v>
      </c>
      <c r="Q29" s="3" t="str">
        <f>Data_All[[#This Row],[T / V]]</f>
        <v>Training</v>
      </c>
      <c r="R29" s="3">
        <f ca="1">ABS((Estimates_All[[#This Row],[A_q predicted (b=0)]]-Estimates_All[[#This Row],[A_q measured]])/Estimates_All[[#This Row],[A_q measured]])*100</f>
        <v>0.21351125176536853</v>
      </c>
    </row>
    <row r="30" spans="1:27" x14ac:dyDescent="0.3">
      <c r="A30" s="3" t="s">
        <v>8</v>
      </c>
      <c r="B30" s="3">
        <v>170</v>
      </c>
      <c r="C30" s="3" t="s">
        <v>10</v>
      </c>
      <c r="D30" s="3">
        <v>1</v>
      </c>
      <c r="E30" s="3">
        <v>2</v>
      </c>
      <c r="F30" s="3">
        <v>9.3620263278695397</v>
      </c>
      <c r="G30" s="3">
        <v>159.24805774971136</v>
      </c>
      <c r="H30" s="3">
        <v>17.009998922525028</v>
      </c>
      <c r="I30" s="3" t="str">
        <f>IF(ROWS($I$22:I30)&lt;=n_T,"Training","Validation")</f>
        <v>Training</v>
      </c>
      <c r="J30" s="3">
        <f t="shared" ca="1" si="0"/>
        <v>0.29233076919439704</v>
      </c>
      <c r="K30" s="52"/>
      <c r="L30" s="52"/>
      <c r="O30" s="3">
        <f>Data_All[[#This Row],[A_q]]</f>
        <v>159.24805774971136</v>
      </c>
      <c r="P30" s="3">
        <f ca="1">Data_All[[#This Row],[A_T]]*$C$11</f>
        <v>191.41979804224036</v>
      </c>
      <c r="Q30" s="3" t="str">
        <f>Data_All[[#This Row],[T / V]]</f>
        <v>Training</v>
      </c>
      <c r="R30" s="3">
        <f ca="1">ABS((Estimates_All[[#This Row],[A_q predicted (b=0)]]-Estimates_All[[#This Row],[A_q measured]])/Estimates_All[[#This Row],[A_q measured]])*100</f>
        <v>20.202281112334198</v>
      </c>
    </row>
    <row r="31" spans="1:27" x14ac:dyDescent="0.3">
      <c r="A31" s="3" t="s">
        <v>37</v>
      </c>
      <c r="B31" s="3">
        <v>170</v>
      </c>
      <c r="C31" s="3" t="s">
        <v>10</v>
      </c>
      <c r="D31" s="3">
        <v>1</v>
      </c>
      <c r="E31" s="3">
        <v>1</v>
      </c>
      <c r="F31" s="3">
        <v>14.619000000000637</v>
      </c>
      <c r="G31" s="3">
        <v>301.61215956541196</v>
      </c>
      <c r="H31" s="3">
        <v>20.631517857951902</v>
      </c>
      <c r="I31" s="3" t="str">
        <f>IF(ROWS($I$22:I31)&lt;=n_T,"Training","Validation")</f>
        <v>Training</v>
      </c>
      <c r="J31" s="3">
        <f t="shared" ca="1" si="0"/>
        <v>8.3610727038279098E-2</v>
      </c>
      <c r="K31" s="52"/>
      <c r="L31" s="52"/>
      <c r="O31" s="3">
        <f>Data_All[[#This Row],[A_q]]</f>
        <v>301.61215956541196</v>
      </c>
      <c r="P31" s="3">
        <f ca="1">Data_All[[#This Row],[A_T]]*$C$11</f>
        <v>298.90601986978618</v>
      </c>
      <c r="Q31" s="3" t="str">
        <f>Data_All[[#This Row],[T / V]]</f>
        <v>Training</v>
      </c>
      <c r="R31" s="3">
        <f ca="1">ABS((Estimates_All[[#This Row],[A_q predicted (b=0)]]-Estimates_All[[#This Row],[A_q measured]])/Estimates_All[[#This Row],[A_q measured]])*100</f>
        <v>0.89722499899374475</v>
      </c>
    </row>
    <row r="32" spans="1:27" x14ac:dyDescent="0.3">
      <c r="A32" s="3" t="s">
        <v>11</v>
      </c>
      <c r="B32" s="3">
        <v>170</v>
      </c>
      <c r="C32" s="3" t="s">
        <v>10</v>
      </c>
      <c r="D32" s="3">
        <v>1</v>
      </c>
      <c r="E32" s="3">
        <v>2</v>
      </c>
      <c r="F32" s="3">
        <v>11.370389065312706</v>
      </c>
      <c r="G32" s="3">
        <v>218.07088535308668</v>
      </c>
      <c r="H32" s="3">
        <v>19.178841119724638</v>
      </c>
      <c r="I32" s="3" t="str">
        <f>IF(ROWS($I$22:I32)&lt;=n_T,"Training","Validation")</f>
        <v>Training</v>
      </c>
      <c r="J32" s="3">
        <f t="shared" ca="1" si="0"/>
        <v>0.30219004865213939</v>
      </c>
      <c r="K32" s="52"/>
      <c r="L32" s="52"/>
      <c r="O32" s="3">
        <f>Data_All[[#This Row],[A_q]]</f>
        <v>218.07088535308668</v>
      </c>
      <c r="P32" s="3">
        <f ca="1">Data_All[[#This Row],[A_T]]*$C$11</f>
        <v>232.4835994174301</v>
      </c>
      <c r="Q32" s="3" t="str">
        <f>Data_All[[#This Row],[T / V]]</f>
        <v>Training</v>
      </c>
      <c r="R32" s="3">
        <f ca="1">ABS((Estimates_All[[#This Row],[A_q predicted (b=0)]]-Estimates_All[[#This Row],[A_q measured]])/Estimates_All[[#This Row],[A_q measured]])*100</f>
        <v>6.6091876689578513</v>
      </c>
    </row>
    <row r="33" spans="1:27" s="2" customFormat="1" x14ac:dyDescent="0.3">
      <c r="A33" s="3" t="s">
        <v>12</v>
      </c>
      <c r="B33" s="3">
        <v>170</v>
      </c>
      <c r="C33" s="3" t="s">
        <v>10</v>
      </c>
      <c r="D33" s="3">
        <v>0.5</v>
      </c>
      <c r="E33" s="3">
        <v>3</v>
      </c>
      <c r="F33" s="3">
        <v>12.827573007786603</v>
      </c>
      <c r="G33" s="3">
        <v>256.02550949111617</v>
      </c>
      <c r="H33" s="3">
        <v>19.958998427504827</v>
      </c>
      <c r="I33" s="3" t="str">
        <f>IF(ROWS($I$22:I33)&lt;=n_T,"Training","Validation")</f>
        <v>Training</v>
      </c>
      <c r="J33" s="3">
        <f t="shared" ca="1" si="0"/>
        <v>0.42260765651258914</v>
      </c>
      <c r="K33" s="52"/>
      <c r="L33" s="52"/>
      <c r="M33" s="8"/>
      <c r="N33" s="3"/>
      <c r="O33" s="3">
        <f>Data_All[[#This Row],[A_q]]</f>
        <v>256.02550949111617</v>
      </c>
      <c r="P33" s="3">
        <f ca="1">Data_All[[#This Row],[A_T]]*$C$11</f>
        <v>262.27777497410409</v>
      </c>
      <c r="Q33" s="3" t="str">
        <f>Data_All[[#This Row],[T / V]]</f>
        <v>Training</v>
      </c>
      <c r="R33" s="3">
        <f ca="1">ABS((Estimates_All[[#This Row],[A_q predicted (b=0)]]-Estimates_All[[#This Row],[A_q measured]])/Estimates_All[[#This Row],[A_q measured]])*100</f>
        <v>2.4420478628926898</v>
      </c>
      <c r="V33"/>
      <c r="W33"/>
      <c r="X33"/>
      <c r="Y33"/>
      <c r="Z33"/>
      <c r="AA33"/>
    </row>
    <row r="34" spans="1:27" s="2" customFormat="1" x14ac:dyDescent="0.3">
      <c r="A34" s="3" t="s">
        <v>38</v>
      </c>
      <c r="B34" s="3">
        <v>230</v>
      </c>
      <c r="C34" s="3" t="s">
        <v>9</v>
      </c>
      <c r="D34" s="3">
        <v>0.5</v>
      </c>
      <c r="E34" s="3">
        <v>1</v>
      </c>
      <c r="F34" s="3">
        <v>25.133748384813632</v>
      </c>
      <c r="G34" s="3">
        <v>559.05236689916728</v>
      </c>
      <c r="H34" s="3">
        <v>22.243095551834166</v>
      </c>
      <c r="I34" s="3" t="str">
        <f>IF(ROWS($I$22:I34)&lt;=n_T,"Training","Validation")</f>
        <v>Training</v>
      </c>
      <c r="J34" s="3">
        <f t="shared" ca="1" si="0"/>
        <v>3.1181827245067684E-2</v>
      </c>
      <c r="K34" s="52"/>
      <c r="L34" s="52"/>
      <c r="M34" s="8"/>
      <c r="N34" s="3"/>
      <c r="O34" s="3">
        <f>Data_All[[#This Row],[A_q]]</f>
        <v>559.05236689916728</v>
      </c>
      <c r="P34" s="3">
        <f ca="1">Data_All[[#This Row],[A_T]]*$C$11</f>
        <v>513.89484192578027</v>
      </c>
      <c r="Q34" s="3" t="str">
        <f>Data_All[[#This Row],[T / V]]</f>
        <v>Training</v>
      </c>
      <c r="R34" s="3">
        <f ca="1">ABS((Estimates_All[[#This Row],[A_q predicted (b=0)]]-Estimates_All[[#This Row],[A_q measured]])/Estimates_All[[#This Row],[A_q measured]])*100</f>
        <v>8.0775125278258209</v>
      </c>
      <c r="V34"/>
      <c r="W34"/>
      <c r="X34"/>
      <c r="Y34"/>
      <c r="Z34"/>
      <c r="AA34"/>
    </row>
    <row r="35" spans="1:27" s="2" customFormat="1" x14ac:dyDescent="0.3">
      <c r="A35" s="3" t="s">
        <v>37</v>
      </c>
      <c r="B35" s="3">
        <v>170</v>
      </c>
      <c r="C35" s="3" t="s">
        <v>9</v>
      </c>
      <c r="D35" s="3">
        <v>1</v>
      </c>
      <c r="E35" s="3">
        <v>3</v>
      </c>
      <c r="F35" s="3">
        <v>21.178307900317577</v>
      </c>
      <c r="G35" s="3">
        <v>403.6620200942827</v>
      </c>
      <c r="H35" s="3">
        <v>19.060163918394522</v>
      </c>
      <c r="I35" s="3" t="str">
        <f>IF(ROWS($I$22:I35)&lt;=n_T,"Training","Validation")</f>
        <v>Training</v>
      </c>
      <c r="J35" s="3">
        <f t="shared" ca="1" si="0"/>
        <v>0.83316393378091769</v>
      </c>
      <c r="K35" s="52"/>
      <c r="L35" s="52"/>
      <c r="M35" s="8"/>
      <c r="N35" s="3"/>
      <c r="O35" s="3">
        <f>Data_All[[#This Row],[A_q]]</f>
        <v>403.6620200942827</v>
      </c>
      <c r="P35" s="3">
        <f ca="1">Data_All[[#This Row],[A_T]]*$C$11</f>
        <v>433.02029701487783</v>
      </c>
      <c r="Q35" s="3" t="str">
        <f>Data_All[[#This Row],[T / V]]</f>
        <v>Training</v>
      </c>
      <c r="R35" s="3">
        <f ca="1">ABS((Estimates_All[[#This Row],[A_q predicted (b=0)]]-Estimates_All[[#This Row],[A_q measured]])/Estimates_All[[#This Row],[A_q measured]])*100</f>
        <v>7.2729846899487764</v>
      </c>
      <c r="V35"/>
      <c r="W35"/>
      <c r="X35"/>
      <c r="Y35"/>
      <c r="Z35"/>
      <c r="AA35"/>
    </row>
    <row r="36" spans="1:27" s="2" customFormat="1" x14ac:dyDescent="0.3">
      <c r="A36" s="3" t="s">
        <v>37</v>
      </c>
      <c r="B36" s="3">
        <v>170</v>
      </c>
      <c r="C36" s="3" t="s">
        <v>9</v>
      </c>
      <c r="D36" s="3">
        <v>0.5</v>
      </c>
      <c r="E36" s="3">
        <v>3</v>
      </c>
      <c r="F36" s="3">
        <v>16.33920000000073</v>
      </c>
      <c r="G36" s="3">
        <v>353.55864367151293</v>
      </c>
      <c r="H36" s="3">
        <v>21.63867531283644</v>
      </c>
      <c r="I36" s="3" t="str">
        <f>IF(ROWS($I$22:I36)&lt;=n_T,"Training","Validation")</f>
        <v>Training</v>
      </c>
      <c r="J36" s="3">
        <f t="shared" ca="1" si="0"/>
        <v>0.56874822910932665</v>
      </c>
      <c r="K36" s="52"/>
      <c r="L36" s="52"/>
      <c r="M36" s="8"/>
      <c r="N36" s="3"/>
      <c r="O36" s="3">
        <f>Data_All[[#This Row],[A_q]]</f>
        <v>353.55864367151293</v>
      </c>
      <c r="P36" s="3">
        <f ca="1">Data_All[[#This Row],[A_T]]*$C$11</f>
        <v>334.07792871307311</v>
      </c>
      <c r="Q36" s="3" t="str">
        <f>Data_All[[#This Row],[T / V]]</f>
        <v>Training</v>
      </c>
      <c r="R36" s="3">
        <f ca="1">ABS((Estimates_All[[#This Row],[A_q predicted (b=0)]]-Estimates_All[[#This Row],[A_q measured]])/Estimates_All[[#This Row],[A_q measured]])*100</f>
        <v>5.5098963940304957</v>
      </c>
      <c r="V36"/>
      <c r="W36"/>
      <c r="X36"/>
      <c r="Y36"/>
      <c r="Z36"/>
      <c r="AA36"/>
    </row>
    <row r="37" spans="1:27" s="2" customFormat="1" x14ac:dyDescent="0.3">
      <c r="A37" s="3" t="s">
        <v>38</v>
      </c>
      <c r="B37" s="3">
        <v>230</v>
      </c>
      <c r="C37" s="3" t="s">
        <v>9</v>
      </c>
      <c r="D37" s="3">
        <v>1</v>
      </c>
      <c r="E37" s="3">
        <v>1</v>
      </c>
      <c r="F37" s="3">
        <v>26.190323511765527</v>
      </c>
      <c r="G37" s="3">
        <v>521.36237802390303</v>
      </c>
      <c r="H37" s="3">
        <v>19.906679571548263</v>
      </c>
      <c r="I37" s="3" t="str">
        <f>IF(ROWS($I$22:I37)&lt;=n_T,"Training","Validation")</f>
        <v>Training</v>
      </c>
      <c r="J37" s="3">
        <f t="shared" ca="1" si="0"/>
        <v>0.24777421579878367</v>
      </c>
      <c r="K37" s="52"/>
      <c r="L37" s="52"/>
      <c r="M37" s="8"/>
      <c r="N37" s="3"/>
      <c r="O37" s="3">
        <f>Data_All[[#This Row],[A_q]]</f>
        <v>521.36237802390303</v>
      </c>
      <c r="P37" s="3">
        <f ca="1">Data_All[[#This Row],[A_T]]*$C$11</f>
        <v>535.49800670384934</v>
      </c>
      <c r="Q37" s="3" t="str">
        <f>Data_All[[#This Row],[T / V]]</f>
        <v>Training</v>
      </c>
      <c r="R37" s="3">
        <f ca="1">ABS((Estimates_All[[#This Row],[A_q predicted (b=0)]]-Estimates_All[[#This Row],[A_q measured]])/Estimates_All[[#This Row],[A_q measured]])*100</f>
        <v>2.711286674256006</v>
      </c>
      <c r="V37"/>
      <c r="W37"/>
      <c r="X37"/>
      <c r="Y37"/>
      <c r="Z37"/>
      <c r="AA37"/>
    </row>
    <row r="38" spans="1:27" s="2" customFormat="1" x14ac:dyDescent="0.3">
      <c r="A38" s="3" t="s">
        <v>38</v>
      </c>
      <c r="B38" s="3">
        <v>230</v>
      </c>
      <c r="C38" s="3" t="s">
        <v>10</v>
      </c>
      <c r="D38" s="3">
        <v>0.5</v>
      </c>
      <c r="E38" s="3">
        <v>1</v>
      </c>
      <c r="F38" s="3">
        <v>22.067685978047887</v>
      </c>
      <c r="G38" s="3">
        <v>530.44121365596561</v>
      </c>
      <c r="H38" s="3">
        <v>24.037011138532094</v>
      </c>
      <c r="I38" s="3" t="str">
        <f>IF(ROWS($I$22:I38)&lt;=n_T,"Training","Validation")</f>
        <v>Training</v>
      </c>
      <c r="J38" s="3">
        <f t="shared" ca="1" si="0"/>
        <v>0.12404231292783408</v>
      </c>
      <c r="K38" s="52"/>
      <c r="L38" s="52"/>
      <c r="M38" s="8"/>
      <c r="N38" s="3"/>
      <c r="O38" s="3">
        <f>Data_All[[#This Row],[A_q]]</f>
        <v>530.44121365596561</v>
      </c>
      <c r="P38" s="3">
        <f ca="1">Data_All[[#This Row],[A_T]]*$C$11</f>
        <v>451.20488292183433</v>
      </c>
      <c r="Q38" s="3" t="str">
        <f>Data_All[[#This Row],[T / V]]</f>
        <v>Training</v>
      </c>
      <c r="R38" s="3">
        <f ca="1">ABS((Estimates_All[[#This Row],[A_q predicted (b=0)]]-Estimates_All[[#This Row],[A_q measured]])/Estimates_All[[#This Row],[A_q measured]])*100</f>
        <v>14.937815670092805</v>
      </c>
      <c r="V38"/>
      <c r="W38"/>
      <c r="X38"/>
      <c r="Y38"/>
      <c r="Z38"/>
      <c r="AA38"/>
    </row>
    <row r="39" spans="1:27" s="2" customFormat="1" x14ac:dyDescent="0.3">
      <c r="A39" s="3" t="s">
        <v>38</v>
      </c>
      <c r="B39" s="3">
        <v>230</v>
      </c>
      <c r="C39" s="3" t="s">
        <v>10</v>
      </c>
      <c r="D39" s="3">
        <v>1</v>
      </c>
      <c r="E39" s="3">
        <v>1</v>
      </c>
      <c r="F39" s="3">
        <v>27.071048094113479</v>
      </c>
      <c r="G39" s="3">
        <v>497.44749309176234</v>
      </c>
      <c r="H39" s="3">
        <v>18.37562739951435</v>
      </c>
      <c r="I39" s="3" t="str">
        <f>IF(ROWS($I$22:I39)&lt;=n_T,"Training","Validation")</f>
        <v>Training</v>
      </c>
      <c r="J39" s="3">
        <f t="shared" ca="1" si="0"/>
        <v>0.39358841360901453</v>
      </c>
      <c r="K39" s="52"/>
      <c r="L39" s="52"/>
      <c r="M39" s="8"/>
      <c r="N39" s="3"/>
      <c r="O39" s="3">
        <f>Data_All[[#This Row],[A_q]]</f>
        <v>497.44749309176234</v>
      </c>
      <c r="P39" s="3">
        <f ca="1">Data_All[[#This Row],[A_T]]*$C$11</f>
        <v>553.50565972465063</v>
      </c>
      <c r="Q39" s="3" t="str">
        <f>Data_All[[#This Row],[T / V]]</f>
        <v>Training</v>
      </c>
      <c r="R39" s="3">
        <f ca="1">ABS((Estimates_All[[#This Row],[A_q predicted (b=0)]]-Estimates_All[[#This Row],[A_q measured]])/Estimates_All[[#This Row],[A_q measured]])*100</f>
        <v>11.269162557131922</v>
      </c>
      <c r="V39"/>
      <c r="W39"/>
      <c r="X39"/>
      <c r="Y39"/>
      <c r="Z39"/>
      <c r="AA39"/>
    </row>
    <row r="40" spans="1:27" s="2" customFormat="1" x14ac:dyDescent="0.3">
      <c r="A40" s="3" t="s">
        <v>38</v>
      </c>
      <c r="B40" s="3">
        <v>230</v>
      </c>
      <c r="C40" s="3" t="s">
        <v>9</v>
      </c>
      <c r="D40" s="3">
        <v>1</v>
      </c>
      <c r="E40" s="3">
        <v>2</v>
      </c>
      <c r="F40" s="3">
        <v>27.339335607030392</v>
      </c>
      <c r="G40" s="3">
        <v>517.33538910520599</v>
      </c>
      <c r="H40" s="3">
        <v>18.922749131188528</v>
      </c>
      <c r="I40" s="3" t="str">
        <f>IF(ROWS($I$22:I40)&lt;=n_T,"Training","Validation")</f>
        <v>Training</v>
      </c>
      <c r="J40" s="3">
        <f t="shared" ca="1" si="0"/>
        <v>0.76779249662802385</v>
      </c>
      <c r="K40" s="52"/>
      <c r="L40" s="52"/>
      <c r="M40" s="8"/>
      <c r="N40" s="3"/>
      <c r="O40" s="3">
        <f>Data_All[[#This Row],[A_q]]</f>
        <v>517.33538910520599</v>
      </c>
      <c r="P40" s="3">
        <f ca="1">Data_All[[#This Row],[A_T]]*$C$11</f>
        <v>558.99117533219942</v>
      </c>
      <c r="Q40" s="3" t="str">
        <f>Data_All[[#This Row],[T / V]]</f>
        <v>Training</v>
      </c>
      <c r="R40" s="3">
        <f ca="1">ABS((Estimates_All[[#This Row],[A_q predicted (b=0)]]-Estimates_All[[#This Row],[A_q measured]])/Estimates_All[[#This Row],[A_q measured]])*100</f>
        <v>8.0519885366903168</v>
      </c>
      <c r="V40"/>
      <c r="W40"/>
      <c r="X40"/>
      <c r="Y40"/>
      <c r="Z40"/>
      <c r="AA40"/>
    </row>
    <row r="41" spans="1:27" s="2" customFormat="1" x14ac:dyDescent="0.3">
      <c r="A41" s="3" t="s">
        <v>37</v>
      </c>
      <c r="B41" s="3">
        <v>170</v>
      </c>
      <c r="C41" s="3" t="s">
        <v>9</v>
      </c>
      <c r="D41" s="3">
        <v>1</v>
      </c>
      <c r="E41" s="3">
        <v>1</v>
      </c>
      <c r="F41" s="3">
        <v>20.136299999999675</v>
      </c>
      <c r="G41" s="3">
        <v>422.07809643010341</v>
      </c>
      <c r="H41" s="3">
        <v>20.961055230112297</v>
      </c>
      <c r="I41" s="3" t="str">
        <f>IF(ROWS($I$22:I41)&lt;=n_T,"Training","Validation")</f>
        <v>Training</v>
      </c>
      <c r="J41" s="3">
        <f t="shared" ca="1" si="0"/>
        <v>0.39968920223204052</v>
      </c>
      <c r="K41" s="52"/>
      <c r="L41" s="52"/>
      <c r="M41" s="8"/>
      <c r="N41" s="3"/>
      <c r="O41" s="3">
        <f>Data_All[[#This Row],[A_q]]</f>
        <v>422.07809643010341</v>
      </c>
      <c r="P41" s="3">
        <f ca="1">Data_All[[#This Row],[A_T]]*$C$11</f>
        <v>411.7149796773798</v>
      </c>
      <c r="Q41" s="3" t="str">
        <f>Data_All[[#This Row],[T / V]]</f>
        <v>Training</v>
      </c>
      <c r="R41" s="3">
        <f ca="1">ABS((Estimates_All[[#This Row],[A_q predicted (b=0)]]-Estimates_All[[#This Row],[A_q measured]])/Estimates_All[[#This Row],[A_q measured]])*100</f>
        <v>2.455260493348002</v>
      </c>
      <c r="V41"/>
      <c r="W41"/>
      <c r="X41"/>
      <c r="Y41"/>
      <c r="Z41"/>
      <c r="AA41"/>
    </row>
    <row r="42" spans="1:27" s="2" customFormat="1" x14ac:dyDescent="0.3">
      <c r="A42" s="3" t="s">
        <v>12</v>
      </c>
      <c r="B42" s="3">
        <v>170</v>
      </c>
      <c r="C42" s="3" t="s">
        <v>9</v>
      </c>
      <c r="D42" s="3">
        <v>1</v>
      </c>
      <c r="E42" s="3">
        <v>1</v>
      </c>
      <c r="F42" s="3">
        <v>19.086000000000098</v>
      </c>
      <c r="G42" s="3">
        <v>387.39479999999998</v>
      </c>
      <c r="H42" s="3">
        <v>20.297327884313002</v>
      </c>
      <c r="I42" s="3" t="str">
        <f>IF(ROWS($I$22:I42)&lt;=n_T,"Training","Validation")</f>
        <v>Training</v>
      </c>
      <c r="J42" s="3">
        <f t="shared" ca="1" si="0"/>
        <v>0.31442334606410061</v>
      </c>
      <c r="K42" s="52"/>
      <c r="L42" s="52"/>
      <c r="M42" s="8"/>
      <c r="N42" s="3"/>
      <c r="O42" s="3">
        <f>Data_All[[#This Row],[A_q]]</f>
        <v>387.39479999999998</v>
      </c>
      <c r="P42" s="3">
        <f ca="1">Data_All[[#This Row],[A_T]]*$C$11</f>
        <v>390.24011869721045</v>
      </c>
      <c r="Q42" s="3" t="str">
        <f>Data_All[[#This Row],[T / V]]</f>
        <v>Training</v>
      </c>
      <c r="R42" s="3">
        <f ca="1">ABS((Estimates_All[[#This Row],[A_q predicted (b=0)]]-Estimates_All[[#This Row],[A_q measured]])/Estimates_All[[#This Row],[A_q measured]])*100</f>
        <v>0.73447519099649072</v>
      </c>
      <c r="V42"/>
      <c r="W42"/>
      <c r="X42"/>
      <c r="Y42"/>
      <c r="Z42"/>
      <c r="AA42"/>
    </row>
    <row r="43" spans="1:27" s="2" customFormat="1" x14ac:dyDescent="0.3">
      <c r="A43" s="3" t="s">
        <v>38</v>
      </c>
      <c r="B43" s="3">
        <v>230</v>
      </c>
      <c r="C43" s="3" t="s">
        <v>10</v>
      </c>
      <c r="D43" s="3">
        <v>0.5</v>
      </c>
      <c r="E43" s="3">
        <v>3</v>
      </c>
      <c r="F43" s="3">
        <v>22.422000000000001</v>
      </c>
      <c r="G43" s="3">
        <v>526.93979999999988</v>
      </c>
      <c r="H43" s="3">
        <v>23.50101686</v>
      </c>
      <c r="I43" s="3" t="str">
        <f>IF(ROWS($I$22:I43)&lt;=n_T,"Training","Validation")</f>
        <v>Training</v>
      </c>
      <c r="J43" s="3">
        <f t="shared" ca="1" si="0"/>
        <v>0.38928488291838781</v>
      </c>
      <c r="K43" s="52"/>
      <c r="L43" s="52"/>
      <c r="M43" s="8"/>
      <c r="N43" s="3"/>
      <c r="O43" s="3">
        <f>Data_All[[#This Row],[A_q]]</f>
        <v>526.93979999999988</v>
      </c>
      <c r="P43" s="3">
        <f ca="1">Data_All[[#This Row],[A_T]]*$C$11</f>
        <v>458.44933152199559</v>
      </c>
      <c r="Q43" s="3" t="str">
        <f>Data_All[[#This Row],[T / V]]</f>
        <v>Training</v>
      </c>
      <c r="R43" s="3">
        <f ca="1">ABS((Estimates_All[[#This Row],[A_q predicted (b=0)]]-Estimates_All[[#This Row],[A_q measured]])/Estimates_All[[#This Row],[A_q measured]])*100</f>
        <v>12.997778584575373</v>
      </c>
      <c r="V43"/>
      <c r="W43"/>
      <c r="X43"/>
      <c r="Y43"/>
      <c r="Z43"/>
      <c r="AA43"/>
    </row>
    <row r="44" spans="1:27" s="2" customFormat="1" x14ac:dyDescent="0.3">
      <c r="A44" s="3" t="s">
        <v>11</v>
      </c>
      <c r="B44" s="3">
        <v>170</v>
      </c>
      <c r="C44" s="3" t="s">
        <v>10</v>
      </c>
      <c r="D44" s="3">
        <v>0.5</v>
      </c>
      <c r="E44" s="3">
        <v>3</v>
      </c>
      <c r="F44" s="3">
        <v>13.394999999995163</v>
      </c>
      <c r="G44" s="3">
        <v>240.30809999999769</v>
      </c>
      <c r="H44" s="3">
        <v>17.940134378505746</v>
      </c>
      <c r="I44" s="3" t="str">
        <f>IF(ROWS($I$22:I44)&lt;=n_T,"Training","Validation")</f>
        <v>Training</v>
      </c>
      <c r="J44" s="3">
        <f t="shared" ca="1" si="0"/>
        <v>0.449158662759919</v>
      </c>
      <c r="K44" s="52"/>
      <c r="L44" s="52"/>
      <c r="M44" s="8"/>
      <c r="N44" s="3"/>
      <c r="O44" s="3">
        <f>Data_All[[#This Row],[A_q]]</f>
        <v>240.30809999999769</v>
      </c>
      <c r="P44" s="3">
        <f ca="1">Data_All[[#This Row],[A_T]]*$C$11</f>
        <v>273.87961804187461</v>
      </c>
      <c r="Q44" s="3" t="str">
        <f>Data_All[[#This Row],[T / V]]</f>
        <v>Training</v>
      </c>
      <c r="R44" s="3">
        <f ca="1">ABS((Estimates_All[[#This Row],[A_q predicted (b=0)]]-Estimates_All[[#This Row],[A_q measured]])/Estimates_All[[#This Row],[A_q measured]])*100</f>
        <v>13.970198275412788</v>
      </c>
      <c r="V44"/>
      <c r="W44"/>
      <c r="X44"/>
      <c r="Y44"/>
      <c r="Z44"/>
      <c r="AA44"/>
    </row>
    <row r="45" spans="1:27" s="2" customFormat="1" x14ac:dyDescent="0.3">
      <c r="A45" s="3" t="s">
        <v>38</v>
      </c>
      <c r="B45" s="3">
        <v>230</v>
      </c>
      <c r="C45" s="3" t="s">
        <v>10</v>
      </c>
      <c r="D45" s="3">
        <v>1</v>
      </c>
      <c r="E45" s="3">
        <v>3</v>
      </c>
      <c r="F45" s="3">
        <v>26.999051764701608</v>
      </c>
      <c r="G45" s="3">
        <v>498.93304243764453</v>
      </c>
      <c r="H45" s="3">
        <v>18.479650573874839</v>
      </c>
      <c r="I45" s="3" t="str">
        <f>IF(ROWS($I$22:I45)&lt;=n_T,"Training","Validation")</f>
        <v>Training</v>
      </c>
      <c r="J45" s="3">
        <f t="shared" ca="1" si="0"/>
        <v>0.11263562493192414</v>
      </c>
      <c r="K45" s="52"/>
      <c r="L45" s="52"/>
      <c r="M45" s="8"/>
      <c r="N45" s="3"/>
      <c r="O45" s="3">
        <f>Data_All[[#This Row],[A_q]]</f>
        <v>498.93304243764453</v>
      </c>
      <c r="P45" s="3">
        <f ca="1">Data_All[[#This Row],[A_T]]*$C$11</f>
        <v>552.03359349100026</v>
      </c>
      <c r="Q45" s="3" t="str">
        <f>Data_All[[#This Row],[T / V]]</f>
        <v>Training</v>
      </c>
      <c r="R45" s="3">
        <f ca="1">ABS((Estimates_All[[#This Row],[A_q predicted (b=0)]]-Estimates_All[[#This Row],[A_q measured]])/Estimates_All[[#This Row],[A_q measured]])*100</f>
        <v>10.642821087559481</v>
      </c>
      <c r="V45"/>
      <c r="W45"/>
      <c r="X45"/>
      <c r="Y45"/>
      <c r="Z45"/>
      <c r="AA45"/>
    </row>
    <row r="46" spans="1:27" s="2" customFormat="1" x14ac:dyDescent="0.3">
      <c r="A46" s="3" t="s">
        <v>37</v>
      </c>
      <c r="B46" s="3">
        <v>170</v>
      </c>
      <c r="C46" s="3" t="s">
        <v>10</v>
      </c>
      <c r="D46" s="3">
        <v>0.5</v>
      </c>
      <c r="E46" s="3">
        <v>1</v>
      </c>
      <c r="F46" s="3">
        <v>16.090530088193475</v>
      </c>
      <c r="G46" s="3">
        <v>334.92233180419038</v>
      </c>
      <c r="H46" s="3">
        <v>20.814872472718701</v>
      </c>
      <c r="I46" s="3" t="str">
        <f>IF(ROWS($I$22:I46)&lt;=n_T,"Training","Validation")</f>
        <v>Training</v>
      </c>
      <c r="J46" s="3">
        <f t="shared" ca="1" si="0"/>
        <v>0.29018794783507351</v>
      </c>
      <c r="K46" s="52"/>
      <c r="L46" s="52"/>
      <c r="M46" s="8"/>
      <c r="N46" s="3"/>
      <c r="O46" s="3">
        <f>Data_All[[#This Row],[A_q]]</f>
        <v>334.92233180419038</v>
      </c>
      <c r="P46" s="3">
        <f ca="1">Data_All[[#This Row],[A_T]]*$C$11</f>
        <v>328.99352255672352</v>
      </c>
      <c r="Q46" s="3" t="str">
        <f>Data_All[[#This Row],[T / V]]</f>
        <v>Training</v>
      </c>
      <c r="R46" s="3">
        <f ca="1">ABS((Estimates_All[[#This Row],[A_q predicted (b=0)]]-Estimates_All[[#This Row],[A_q measured]])/Estimates_All[[#This Row],[A_q measured]])*100</f>
        <v>1.770204218849488</v>
      </c>
      <c r="V46"/>
      <c r="W46"/>
      <c r="X46"/>
      <c r="Y46"/>
      <c r="Z46"/>
      <c r="AA46"/>
    </row>
    <row r="47" spans="1:27" s="2" customFormat="1" x14ac:dyDescent="0.3">
      <c r="A47" s="3" t="s">
        <v>37</v>
      </c>
      <c r="B47" s="3">
        <v>170</v>
      </c>
      <c r="C47" s="3" t="s">
        <v>10</v>
      </c>
      <c r="D47" s="3">
        <v>1</v>
      </c>
      <c r="E47" s="3">
        <v>2</v>
      </c>
      <c r="F47" s="3">
        <v>17.935800000001304</v>
      </c>
      <c r="G47" s="3">
        <v>365.21590909090946</v>
      </c>
      <c r="H47" s="3">
        <v>20.36239861566715</v>
      </c>
      <c r="I47" s="3" t="str">
        <f>IF(ROWS($I$22:I47)&lt;=n_T,"Training","Validation")</f>
        <v>Training</v>
      </c>
      <c r="J47" s="3">
        <f t="shared" ca="1" si="0"/>
        <v>0.13040504245892282</v>
      </c>
      <c r="K47" s="52"/>
      <c r="L47" s="52"/>
      <c r="M47" s="8"/>
      <c r="N47" s="3"/>
      <c r="O47" s="3">
        <f>Data_All[[#This Row],[A_q]]</f>
        <v>365.21590909090946</v>
      </c>
      <c r="P47" s="3">
        <f ca="1">Data_All[[#This Row],[A_T]]*$C$11</f>
        <v>366.72266168552341</v>
      </c>
      <c r="Q47" s="3" t="str">
        <f>Data_All[[#This Row],[T / V]]</f>
        <v>Training</v>
      </c>
      <c r="R47" s="3">
        <f ca="1">ABS((Estimates_All[[#This Row],[A_q predicted (b=0)]]-Estimates_All[[#This Row],[A_q measured]])/Estimates_All[[#This Row],[A_q measured]])*100</f>
        <v>0.41256488480048176</v>
      </c>
      <c r="V47"/>
      <c r="W47"/>
      <c r="X47"/>
      <c r="Y47"/>
      <c r="Z47"/>
      <c r="AA47"/>
    </row>
    <row r="48" spans="1:27" s="2" customFormat="1" x14ac:dyDescent="0.3">
      <c r="A48" s="3" t="s">
        <v>37</v>
      </c>
      <c r="B48" s="3">
        <v>170</v>
      </c>
      <c r="C48" s="3" t="s">
        <v>10</v>
      </c>
      <c r="D48" s="3">
        <v>0.5</v>
      </c>
      <c r="E48" s="3">
        <v>3</v>
      </c>
      <c r="F48" s="3">
        <v>15.294906027162751</v>
      </c>
      <c r="G48" s="3">
        <v>318.35937208508204</v>
      </c>
      <c r="H48" s="3">
        <v>20.814732141518011</v>
      </c>
      <c r="I48" s="3" t="str">
        <f>IF(ROWS($I$22:I48)&lt;=n_T,"Training","Validation")</f>
        <v>Training</v>
      </c>
      <c r="J48" s="3">
        <f t="shared" ca="1" si="0"/>
        <v>0.27469322510357974</v>
      </c>
      <c r="K48" s="52"/>
      <c r="L48" s="52"/>
      <c r="M48" s="8"/>
      <c r="N48" s="3"/>
      <c r="O48" s="3">
        <f>Data_All[[#This Row],[A_q]]</f>
        <v>318.35937208508204</v>
      </c>
      <c r="P48" s="3">
        <f ca="1">Data_All[[#This Row],[A_T]]*$C$11</f>
        <v>312.72586940703349</v>
      </c>
      <c r="Q48" s="3" t="str">
        <f>Data_All[[#This Row],[T / V]]</f>
        <v>Training</v>
      </c>
      <c r="R48" s="3">
        <f ca="1">ABS((Estimates_All[[#This Row],[A_q predicted (b=0)]]-Estimates_All[[#This Row],[A_q measured]])/Estimates_All[[#This Row],[A_q measured]])*100</f>
        <v>1.7695419616994958</v>
      </c>
      <c r="V48"/>
      <c r="W48"/>
      <c r="X48"/>
      <c r="Y48"/>
      <c r="Z48"/>
      <c r="AA48"/>
    </row>
    <row r="49" spans="1:27" s="2" customFormat="1" x14ac:dyDescent="0.3">
      <c r="A49" s="3" t="s">
        <v>38</v>
      </c>
      <c r="B49" s="3">
        <v>230</v>
      </c>
      <c r="C49" s="3" t="s">
        <v>10</v>
      </c>
      <c r="D49" s="3">
        <v>1</v>
      </c>
      <c r="E49" s="3">
        <v>2</v>
      </c>
      <c r="F49" s="3">
        <v>22.284430163528512</v>
      </c>
      <c r="G49" s="3">
        <v>438.58518732334858</v>
      </c>
      <c r="H49" s="3">
        <v>19.681238609419442</v>
      </c>
      <c r="I49" s="3" t="str">
        <f>IF(ROWS($I$22:I49)&lt;=n_T,"Training","Validation")</f>
        <v>Training</v>
      </c>
      <c r="J49" s="3">
        <f t="shared" ca="1" si="0"/>
        <v>0.8933839698552074</v>
      </c>
      <c r="K49" s="52"/>
      <c r="L49" s="52"/>
      <c r="M49" s="8"/>
      <c r="N49" s="3"/>
      <c r="O49" s="3">
        <f>Data_All[[#This Row],[A_q]]</f>
        <v>438.58518732334858</v>
      </c>
      <c r="P49" s="3">
        <f ca="1">Data_All[[#This Row],[A_T]]*$C$11</f>
        <v>455.63652269281243</v>
      </c>
      <c r="Q49" s="3" t="str">
        <f>Data_All[[#This Row],[T / V]]</f>
        <v>Training</v>
      </c>
      <c r="R49" s="3">
        <f ca="1">ABS((Estimates_All[[#This Row],[A_q predicted (b=0)]]-Estimates_All[[#This Row],[A_q measured]])/Estimates_All[[#This Row],[A_q measured]])*100</f>
        <v>3.8878046642493413</v>
      </c>
      <c r="V49"/>
      <c r="W49"/>
      <c r="X49"/>
      <c r="Y49"/>
      <c r="Z49"/>
      <c r="AA49"/>
    </row>
    <row r="50" spans="1:27" s="2" customFormat="1" x14ac:dyDescent="0.3">
      <c r="A50" s="3" t="s">
        <v>12</v>
      </c>
      <c r="B50" s="3">
        <v>170</v>
      </c>
      <c r="C50" s="3" t="s">
        <v>10</v>
      </c>
      <c r="D50" s="3">
        <v>1</v>
      </c>
      <c r="E50" s="3">
        <v>1</v>
      </c>
      <c r="F50" s="3">
        <v>13.042056671598727</v>
      </c>
      <c r="G50" s="3">
        <v>266.10625346834951</v>
      </c>
      <c r="H50" s="3">
        <v>20.403703201799502</v>
      </c>
      <c r="I50" s="3" t="str">
        <f>IF(ROWS($I$22:I50)&lt;=n_T,"Training","Validation")</f>
        <v>Training</v>
      </c>
      <c r="J50" s="3">
        <f t="shared" ca="1" si="0"/>
        <v>0.14470289947857684</v>
      </c>
      <c r="K50" s="52"/>
      <c r="L50" s="52"/>
      <c r="M50" s="8"/>
      <c r="N50" s="3"/>
      <c r="O50" s="3">
        <f>Data_All[[#This Row],[A_q]]</f>
        <v>266.10625346834951</v>
      </c>
      <c r="P50" s="3">
        <f ca="1">Data_All[[#This Row],[A_T]]*$C$11</f>
        <v>266.66319519964406</v>
      </c>
      <c r="Q50" s="3" t="str">
        <f>Data_All[[#This Row],[T / V]]</f>
        <v>Training</v>
      </c>
      <c r="R50" s="3">
        <f ca="1">ABS((Estimates_All[[#This Row],[A_q predicted (b=0)]]-Estimates_All[[#This Row],[A_q measured]])/Estimates_All[[#This Row],[A_q measured]])*100</f>
        <v>0.2092929888101257</v>
      </c>
      <c r="V50"/>
      <c r="W50"/>
      <c r="X50"/>
      <c r="Y50"/>
      <c r="Z50"/>
      <c r="AA50"/>
    </row>
    <row r="51" spans="1:27" s="2" customFormat="1" x14ac:dyDescent="0.3">
      <c r="A51" s="3" t="s">
        <v>8</v>
      </c>
      <c r="B51" s="3">
        <v>170</v>
      </c>
      <c r="C51" s="3" t="s">
        <v>10</v>
      </c>
      <c r="D51" s="3">
        <v>0.5</v>
      </c>
      <c r="E51" s="3">
        <v>2</v>
      </c>
      <c r="F51" s="3">
        <v>6.9327748784655023</v>
      </c>
      <c r="G51" s="3">
        <v>136.08228581679037</v>
      </c>
      <c r="H51" s="3">
        <v>19.62883379344791</v>
      </c>
      <c r="I51" s="3" t="str">
        <f>IF(ROWS($I$22:I51)&lt;=n_T,"Training","Validation")</f>
        <v>Training</v>
      </c>
      <c r="J51" s="3">
        <f t="shared" ca="1" si="0"/>
        <v>0.38188232427585944</v>
      </c>
      <c r="K51" s="52"/>
      <c r="L51" s="52"/>
      <c r="M51" s="8"/>
      <c r="N51" s="3"/>
      <c r="O51" s="3">
        <f>Data_All[[#This Row],[A_q]]</f>
        <v>136.08228581679037</v>
      </c>
      <c r="P51" s="3">
        <f ca="1">Data_All[[#This Row],[A_T]]*$C$11</f>
        <v>141.75033487757531</v>
      </c>
      <c r="Q51" s="3" t="str">
        <f>Data_All[[#This Row],[T / V]]</f>
        <v>Training</v>
      </c>
      <c r="R51" s="3">
        <f ca="1">ABS((Estimates_All[[#This Row],[A_q predicted (b=0)]]-Estimates_All[[#This Row],[A_q measured]])/Estimates_All[[#This Row],[A_q measured]])*100</f>
        <v>4.1651630311500769</v>
      </c>
      <c r="V51"/>
      <c r="W51"/>
      <c r="X51"/>
      <c r="Y51"/>
      <c r="Z51"/>
      <c r="AA51"/>
    </row>
    <row r="52" spans="1:27" s="2" customFormat="1" x14ac:dyDescent="0.3">
      <c r="A52" s="3" t="s">
        <v>12</v>
      </c>
      <c r="B52" s="3">
        <v>170</v>
      </c>
      <c r="C52" s="3" t="s">
        <v>9</v>
      </c>
      <c r="D52" s="3">
        <v>1</v>
      </c>
      <c r="E52" s="3">
        <v>2</v>
      </c>
      <c r="F52" s="3">
        <v>17.790648849835058</v>
      </c>
      <c r="G52" s="3">
        <v>369.31674307917132</v>
      </c>
      <c r="H52" s="3">
        <v>20.759037300800603</v>
      </c>
      <c r="I52" s="3" t="str">
        <f>IF(ROWS($I$22:I52)&lt;=n_T,"Training","Validation")</f>
        <v>Training</v>
      </c>
      <c r="J52" s="3">
        <f t="shared" ca="1" si="0"/>
        <v>0.77787418814128095</v>
      </c>
      <c r="K52" s="52"/>
      <c r="L52" s="52"/>
      <c r="M52" s="8"/>
      <c r="N52" s="3"/>
      <c r="O52" s="3">
        <f>Data_All[[#This Row],[A_q]]</f>
        <v>369.31674307917132</v>
      </c>
      <c r="P52" s="3">
        <f ca="1">Data_All[[#This Row],[A_T]]*$C$11</f>
        <v>363.75484223304977</v>
      </c>
      <c r="Q52" s="3" t="str">
        <f>Data_All[[#This Row],[T / V]]</f>
        <v>Training</v>
      </c>
      <c r="R52" s="3">
        <f ca="1">ABS((Estimates_All[[#This Row],[A_q predicted (b=0)]]-Estimates_All[[#This Row],[A_q measured]])/Estimates_All[[#This Row],[A_q measured]])*100</f>
        <v>1.5059974805770526</v>
      </c>
      <c r="V52"/>
      <c r="W52"/>
      <c r="X52"/>
      <c r="Y52"/>
      <c r="Z52"/>
      <c r="AA52"/>
    </row>
    <row r="53" spans="1:27" s="2" customFormat="1" x14ac:dyDescent="0.3">
      <c r="A53" s="3" t="s">
        <v>38</v>
      </c>
      <c r="B53" s="3">
        <v>230</v>
      </c>
      <c r="C53" s="3" t="s">
        <v>9</v>
      </c>
      <c r="D53" s="3">
        <v>1</v>
      </c>
      <c r="E53" s="3">
        <v>3</v>
      </c>
      <c r="F53" s="3">
        <v>25.152330906320181</v>
      </c>
      <c r="G53" s="3">
        <v>531.35713106848095</v>
      </c>
      <c r="H53" s="3">
        <v>21.125562201273503</v>
      </c>
      <c r="I53" s="3" t="str">
        <f>IF(ROWS($I$22:I53)&lt;=n_T,"Training","Validation")</f>
        <v>Training</v>
      </c>
      <c r="J53" s="3">
        <f t="shared" ca="1" si="0"/>
        <v>0.8005760480152716</v>
      </c>
      <c r="K53" s="52"/>
      <c r="L53" s="52"/>
      <c r="M53" s="8"/>
      <c r="N53" s="3"/>
      <c r="O53" s="3">
        <f>Data_All[[#This Row],[A_q]]</f>
        <v>531.35713106848095</v>
      </c>
      <c r="P53" s="3">
        <f ca="1">Data_All[[#This Row],[A_T]]*$C$11</f>
        <v>514.27478771842459</v>
      </c>
      <c r="Q53" s="3" t="str">
        <f>Data_All[[#This Row],[T / V]]</f>
        <v>Training</v>
      </c>
      <c r="R53" s="3">
        <f ca="1">ABS((Estimates_All[[#This Row],[A_q predicted (b=0)]]-Estimates_All[[#This Row],[A_q measured]])/Estimates_All[[#This Row],[A_q measured]])*100</f>
        <v>3.2148516226189123</v>
      </c>
      <c r="V53"/>
      <c r="W53"/>
      <c r="X53"/>
      <c r="Y53"/>
      <c r="Z53"/>
      <c r="AA53"/>
    </row>
    <row r="54" spans="1:27" s="2" customFormat="1" x14ac:dyDescent="0.3">
      <c r="A54" s="3" t="s">
        <v>11</v>
      </c>
      <c r="B54" s="3">
        <v>170</v>
      </c>
      <c r="C54" s="3" t="s">
        <v>10</v>
      </c>
      <c r="D54" s="3">
        <v>0.5</v>
      </c>
      <c r="E54" s="3">
        <v>2</v>
      </c>
      <c r="F54" s="3">
        <v>12.778499999994184</v>
      </c>
      <c r="G54" s="3">
        <v>247.45169999999919</v>
      </c>
      <c r="H54" s="3">
        <v>19.364690691404459</v>
      </c>
      <c r="I54" s="3" t="str">
        <f>IF(ROWS($I$22:I54)&lt;=n_T,"Training","Validation")</f>
        <v>Training</v>
      </c>
      <c r="J54" s="3">
        <f t="shared" ref="J54:J81" ca="1" si="1">RAND()</f>
        <v>0.9154997019790948</v>
      </c>
      <c r="K54" s="52"/>
      <c r="L54" s="52"/>
      <c r="M54" s="8"/>
      <c r="N54" s="3"/>
      <c r="O54" s="3">
        <f>Data_All[[#This Row],[A_q]]</f>
        <v>247.45169999999919</v>
      </c>
      <c r="P54" s="3">
        <f ca="1">Data_All[[#This Row],[A_T]]*$C$11</f>
        <v>261.27440829770552</v>
      </c>
      <c r="Q54" s="3" t="str">
        <f>Data_All[[#This Row],[T / V]]</f>
        <v>Training</v>
      </c>
      <c r="R54" s="3">
        <f ca="1">ABS((Estimates_All[[#This Row],[A_q predicted (b=0)]]-Estimates_All[[#This Row],[A_q measured]])/Estimates_All[[#This Row],[A_q measured]])*100</f>
        <v>5.5860227663444517</v>
      </c>
      <c r="V54"/>
      <c r="W54"/>
      <c r="X54"/>
      <c r="Y54"/>
      <c r="Z54"/>
      <c r="AA54"/>
    </row>
    <row r="55" spans="1:27" s="2" customFormat="1" x14ac:dyDescent="0.3">
      <c r="A55" s="3" t="s">
        <v>8</v>
      </c>
      <c r="B55" s="3">
        <v>170</v>
      </c>
      <c r="C55" s="3" t="s">
        <v>10</v>
      </c>
      <c r="D55" s="3">
        <v>0.5</v>
      </c>
      <c r="E55" s="3">
        <v>1</v>
      </c>
      <c r="F55" s="3">
        <v>8.0972999999946342</v>
      </c>
      <c r="G55" s="3">
        <v>166.90619999999905</v>
      </c>
      <c r="H55" s="3">
        <v>20.612574561904541</v>
      </c>
      <c r="I55" s="3" t="str">
        <f>IF(ROWS($I$22:I55)&lt;=n_T,"Training","Validation")</f>
        <v>Training</v>
      </c>
      <c r="J55" s="3">
        <f t="shared" ca="1" si="1"/>
        <v>0.38569693274659489</v>
      </c>
      <c r="K55" s="52"/>
      <c r="L55" s="52"/>
      <c r="M55" s="8"/>
      <c r="N55" s="3"/>
      <c r="O55" s="3">
        <f>Data_All[[#This Row],[A_q]]</f>
        <v>166.90619999999905</v>
      </c>
      <c r="P55" s="3">
        <f ca="1">Data_All[[#This Row],[A_T]]*$C$11</f>
        <v>165.56068915041453</v>
      </c>
      <c r="Q55" s="3" t="str">
        <f>Data_All[[#This Row],[T / V]]</f>
        <v>Training</v>
      </c>
      <c r="R55" s="3">
        <f ca="1">ABS((Estimates_All[[#This Row],[A_q predicted (b=0)]]-Estimates_All[[#This Row],[A_q measured]])/Estimates_All[[#This Row],[A_q measured]])*100</f>
        <v>0.80614791396875707</v>
      </c>
      <c r="V55"/>
      <c r="W55"/>
      <c r="X55"/>
      <c r="Y55"/>
      <c r="Z55"/>
      <c r="AA55"/>
    </row>
    <row r="56" spans="1:27" s="2" customFormat="1" x14ac:dyDescent="0.3">
      <c r="A56" s="3" t="s">
        <v>12</v>
      </c>
      <c r="B56" s="3">
        <v>170</v>
      </c>
      <c r="C56" s="3" t="s">
        <v>9</v>
      </c>
      <c r="D56" s="3">
        <v>0.5</v>
      </c>
      <c r="E56" s="3">
        <v>1</v>
      </c>
      <c r="F56" s="3">
        <v>14.747651848983457</v>
      </c>
      <c r="G56" s="3">
        <v>292.5854325259931</v>
      </c>
      <c r="H56" s="3">
        <v>19.839458886206398</v>
      </c>
      <c r="I56" s="3" t="str">
        <f>IF(ROWS($I$22:I56)&lt;=n_T,"Training","Validation")</f>
        <v>Training</v>
      </c>
      <c r="J56" s="3">
        <f t="shared" ca="1" si="1"/>
        <v>0.69358007013147671</v>
      </c>
      <c r="K56" s="52"/>
      <c r="L56" s="52"/>
      <c r="M56" s="8"/>
      <c r="N56" s="3"/>
      <c r="O56" s="3">
        <f>Data_All[[#This Row],[A_q]]</f>
        <v>292.5854325259931</v>
      </c>
      <c r="P56" s="3">
        <f ca="1">Data_All[[#This Row],[A_T]]*$C$11</f>
        <v>301.53648789963376</v>
      </c>
      <c r="Q56" s="3" t="str">
        <f>Data_All[[#This Row],[T / V]]</f>
        <v>Training</v>
      </c>
      <c r="R56" s="3">
        <f ca="1">ABS((Estimates_All[[#This Row],[A_q predicted (b=0)]]-Estimates_All[[#This Row],[A_q measured]])/Estimates_All[[#This Row],[A_q measured]])*100</f>
        <v>3.0592963212019963</v>
      </c>
      <c r="V56"/>
      <c r="W56"/>
      <c r="X56"/>
      <c r="Y56"/>
      <c r="Z56"/>
      <c r="AA56"/>
    </row>
    <row r="57" spans="1:27" s="2" customFormat="1" x14ac:dyDescent="0.3">
      <c r="A57" s="3" t="s">
        <v>12</v>
      </c>
      <c r="B57" s="3">
        <v>170</v>
      </c>
      <c r="C57" s="3" t="s">
        <v>10</v>
      </c>
      <c r="D57" s="3">
        <v>1</v>
      </c>
      <c r="E57" s="3">
        <v>2</v>
      </c>
      <c r="F57" s="3">
        <v>11.275199999993378</v>
      </c>
      <c r="G57" s="3">
        <v>242.68199999999436</v>
      </c>
      <c r="H57" s="3">
        <v>21.523520647096007</v>
      </c>
      <c r="I57" s="3" t="str">
        <f>IF(ROWS($I$22:I57)&lt;=n_T,"Training","Validation")</f>
        <v>Training</v>
      </c>
      <c r="J57" s="3">
        <f t="shared" ca="1" si="1"/>
        <v>0.77110466024348179</v>
      </c>
      <c r="K57" s="52"/>
      <c r="L57" s="52"/>
      <c r="M57" s="8"/>
      <c r="N57" s="3"/>
      <c r="O57" s="3">
        <f>Data_All[[#This Row],[A_q]]</f>
        <v>242.68199999999436</v>
      </c>
      <c r="P57" s="3">
        <f ca="1">Data_All[[#This Row],[A_T]]*$C$11</f>
        <v>230.53732507241853</v>
      </c>
      <c r="Q57" s="3" t="str">
        <f>Data_All[[#This Row],[T / V]]</f>
        <v>Training</v>
      </c>
      <c r="R57" s="3">
        <f ca="1">ABS((Estimates_All[[#This Row],[A_q predicted (b=0)]]-Estimates_All[[#This Row],[A_q measured]])/Estimates_All[[#This Row],[A_q measured]])*100</f>
        <v>5.0043575244872374</v>
      </c>
      <c r="U57" s="44"/>
      <c r="V57"/>
      <c r="W57"/>
      <c r="X57"/>
      <c r="Y57"/>
      <c r="Z57"/>
      <c r="AA57"/>
    </row>
    <row r="58" spans="1:27" s="2" customFormat="1" x14ac:dyDescent="0.3">
      <c r="A58" s="3" t="s">
        <v>37</v>
      </c>
      <c r="B58" s="3">
        <v>170</v>
      </c>
      <c r="C58" s="3" t="s">
        <v>9</v>
      </c>
      <c r="D58" s="3">
        <v>0.5</v>
      </c>
      <c r="E58" s="3">
        <v>2</v>
      </c>
      <c r="F58" s="3">
        <v>18.948021681361006</v>
      </c>
      <c r="G58" s="3">
        <v>412.3936411407775</v>
      </c>
      <c r="H58" s="3">
        <v>21.764469561824775</v>
      </c>
      <c r="I58" s="3" t="str">
        <f>IF(ROWS($I$22:I58)&lt;=n_T,"Training","Validation")</f>
        <v>Training</v>
      </c>
      <c r="J58" s="3">
        <f t="shared" ca="1" si="1"/>
        <v>0.6274955692270402</v>
      </c>
      <c r="K58" s="52"/>
      <c r="L58" s="52"/>
      <c r="M58" s="8"/>
      <c r="N58" s="3"/>
      <c r="O58" s="3">
        <f>Data_All[[#This Row],[A_q]]</f>
        <v>412.3936411407775</v>
      </c>
      <c r="P58" s="3">
        <f ca="1">Data_All[[#This Row],[A_T]]*$C$11</f>
        <v>387.41895787548975</v>
      </c>
      <c r="Q58" s="3" t="str">
        <f>Data_All[[#This Row],[T / V]]</f>
        <v>Training</v>
      </c>
      <c r="R58" s="3">
        <f ca="1">ABS((Estimates_All[[#This Row],[A_q predicted (b=0)]]-Estimates_All[[#This Row],[A_q measured]])/Estimates_All[[#This Row],[A_q measured]])*100</f>
        <v>6.0560301551211904</v>
      </c>
      <c r="V58"/>
      <c r="W58"/>
      <c r="X58"/>
      <c r="Y58"/>
      <c r="Z58"/>
      <c r="AA58"/>
    </row>
    <row r="59" spans="1:27" s="2" customFormat="1" x14ac:dyDescent="0.3">
      <c r="A59" s="3" t="s">
        <v>8</v>
      </c>
      <c r="B59" s="3">
        <v>170</v>
      </c>
      <c r="C59" s="3" t="s">
        <v>9</v>
      </c>
      <c r="D59" s="3">
        <v>1</v>
      </c>
      <c r="E59" s="3">
        <v>3</v>
      </c>
      <c r="F59" s="3">
        <v>11.346010588618963</v>
      </c>
      <c r="G59" s="3">
        <v>205.62869365733505</v>
      </c>
      <c r="H59" s="3">
        <v>18.123435726703669</v>
      </c>
      <c r="I59" s="3" t="str">
        <f>IF(ROWS($I$22:I59)&lt;=n_T,"Training","Validation")</f>
        <v>Training</v>
      </c>
      <c r="J59" s="3">
        <f t="shared" ca="1" si="1"/>
        <v>0.18689906228240238</v>
      </c>
      <c r="K59" s="52"/>
      <c r="L59" s="52"/>
      <c r="M59" s="8"/>
      <c r="N59" s="3"/>
      <c r="O59" s="3">
        <f>Data_All[[#This Row],[A_q]]</f>
        <v>205.62869365733505</v>
      </c>
      <c r="P59" s="3">
        <f ca="1">Data_All[[#This Row],[A_T]]*$C$11</f>
        <v>231.98514716768562</v>
      </c>
      <c r="Q59" s="3" t="str">
        <f>Data_All[[#This Row],[T / V]]</f>
        <v>Training</v>
      </c>
      <c r="R59" s="3">
        <f ca="1">ABS((Estimates_All[[#This Row],[A_q predicted (b=0)]]-Estimates_All[[#This Row],[A_q measured]])/Estimates_All[[#This Row],[A_q measured]])*100</f>
        <v>12.817497909251735</v>
      </c>
      <c r="V59"/>
      <c r="W59"/>
      <c r="X59"/>
      <c r="Y59"/>
      <c r="Z59"/>
      <c r="AA59"/>
    </row>
    <row r="60" spans="1:27" s="2" customFormat="1" x14ac:dyDescent="0.3">
      <c r="A60" s="3" t="s">
        <v>8</v>
      </c>
      <c r="B60" s="3">
        <v>170</v>
      </c>
      <c r="C60" s="3" t="s">
        <v>9</v>
      </c>
      <c r="D60" s="3">
        <v>1</v>
      </c>
      <c r="E60" s="3">
        <v>2</v>
      </c>
      <c r="F60" s="3">
        <v>9.2355319538814236</v>
      </c>
      <c r="G60" s="3">
        <v>177.19746032724149</v>
      </c>
      <c r="H60" s="3">
        <v>19.186492040966908</v>
      </c>
      <c r="I60" s="3" t="str">
        <f>IF(ROWS($I$22:I60)&lt;=n_T,"Training","Validation")</f>
        <v>Training</v>
      </c>
      <c r="J60" s="3">
        <f t="shared" ca="1" si="1"/>
        <v>0.3085315683040315</v>
      </c>
      <c r="K60" s="52"/>
      <c r="L60" s="52"/>
      <c r="M60" s="8"/>
      <c r="N60" s="3"/>
      <c r="O60" s="3">
        <f>Data_All[[#This Row],[A_q]]</f>
        <v>177.19746032724149</v>
      </c>
      <c r="P60" s="3">
        <f ca="1">Data_All[[#This Row],[A_T]]*$C$11</f>
        <v>188.83344262362715</v>
      </c>
      <c r="Q60" s="3" t="str">
        <f>Data_All[[#This Row],[T / V]]</f>
        <v>Training</v>
      </c>
      <c r="R60" s="3">
        <f ca="1">ABS((Estimates_All[[#This Row],[A_q predicted (b=0)]]-Estimates_All[[#This Row],[A_q measured]])/Estimates_All[[#This Row],[A_q measured]])*100</f>
        <v>6.5666755465325384</v>
      </c>
      <c r="V60"/>
      <c r="W60"/>
      <c r="X60"/>
      <c r="Y60"/>
      <c r="Z60"/>
      <c r="AA60"/>
    </row>
    <row r="61" spans="1:27" s="2" customFormat="1" x14ac:dyDescent="0.3">
      <c r="A61" s="3" t="s">
        <v>8</v>
      </c>
      <c r="B61" s="3">
        <v>170</v>
      </c>
      <c r="C61" s="3" t="s">
        <v>10</v>
      </c>
      <c r="D61" s="3">
        <v>0.5</v>
      </c>
      <c r="E61" s="3">
        <v>3</v>
      </c>
      <c r="F61" s="3">
        <v>6.6891725519443366</v>
      </c>
      <c r="G61" s="3">
        <v>134.90327528622092</v>
      </c>
      <c r="H61" s="3">
        <v>20.167408485674166</v>
      </c>
      <c r="I61" s="3" t="str">
        <f>IF(ROWS($I$22:I61)&lt;=n_T,"Training","Validation")</f>
        <v>Training</v>
      </c>
      <c r="J61" s="3">
        <f t="shared" ca="1" si="1"/>
        <v>0.6117516217743274</v>
      </c>
      <c r="K61" s="52"/>
      <c r="L61" s="52"/>
      <c r="M61" s="8"/>
      <c r="N61" s="3"/>
      <c r="O61" s="3">
        <f>Data_All[[#This Row],[A_q]]</f>
        <v>134.90327528622092</v>
      </c>
      <c r="P61" s="3">
        <f ca="1">Data_All[[#This Row],[A_T]]*$C$11</f>
        <v>136.76954263108385</v>
      </c>
      <c r="Q61" s="3" t="str">
        <f>Data_All[[#This Row],[T / V]]</f>
        <v>Training</v>
      </c>
      <c r="R61" s="3">
        <f ca="1">ABS((Estimates_All[[#This Row],[A_q predicted (b=0)]]-Estimates_All[[#This Row],[A_q measured]])/Estimates_All[[#This Row],[A_q measured]])*100</f>
        <v>1.3834114411998675</v>
      </c>
      <c r="V61"/>
      <c r="W61"/>
      <c r="X61"/>
      <c r="Y61"/>
      <c r="Z61"/>
      <c r="AA61"/>
    </row>
    <row r="62" spans="1:27" s="2" customFormat="1" x14ac:dyDescent="0.3">
      <c r="A62" s="3" t="s">
        <v>37</v>
      </c>
      <c r="B62" s="3">
        <v>170</v>
      </c>
      <c r="C62" s="3" t="s">
        <v>10</v>
      </c>
      <c r="D62" s="3">
        <v>0.5</v>
      </c>
      <c r="E62" s="3">
        <v>2</v>
      </c>
      <c r="F62" s="3">
        <v>14.901658243472077</v>
      </c>
      <c r="G62" s="3">
        <v>299.1960258608637</v>
      </c>
      <c r="H62" s="3">
        <v>20.078035677132213</v>
      </c>
      <c r="I62" s="3" t="str">
        <f>IF(ROWS($I$22:I62)&lt;=n_T,"Training","Validation")</f>
        <v>Training</v>
      </c>
      <c r="J62" s="3">
        <f t="shared" ca="1" si="1"/>
        <v>0.78530380270078692</v>
      </c>
      <c r="K62" s="52"/>
      <c r="L62" s="52"/>
      <c r="M62" s="8"/>
      <c r="N62" s="3"/>
      <c r="O62" s="3">
        <f>Data_All[[#This Row],[A_q]]</f>
        <v>299.1960258608637</v>
      </c>
      <c r="P62" s="3">
        <f ca="1">Data_All[[#This Row],[A_T]]*$C$11</f>
        <v>304.68536527914586</v>
      </c>
      <c r="Q62" s="3" t="str">
        <f>Data_All[[#This Row],[T / V]]</f>
        <v>Training</v>
      </c>
      <c r="R62" s="3">
        <f ca="1">ABS((Estimates_All[[#This Row],[A_q predicted (b=0)]]-Estimates_All[[#This Row],[A_q measured]])/Estimates_All[[#This Row],[A_q measured]])*100</f>
        <v>1.8346966349195044</v>
      </c>
      <c r="V62"/>
      <c r="W62"/>
      <c r="X62"/>
      <c r="Y62"/>
      <c r="Z62"/>
      <c r="AA62"/>
    </row>
    <row r="63" spans="1:27" s="2" customFormat="1" x14ac:dyDescent="0.3">
      <c r="A63" s="3" t="s">
        <v>8</v>
      </c>
      <c r="B63" s="3">
        <v>170</v>
      </c>
      <c r="C63" s="3" t="s">
        <v>10</v>
      </c>
      <c r="D63" s="3">
        <v>1</v>
      </c>
      <c r="E63" s="3">
        <v>1</v>
      </c>
      <c r="F63" s="3">
        <v>7.7868000000008877</v>
      </c>
      <c r="G63" s="3">
        <v>134.81040000000056</v>
      </c>
      <c r="H63" s="3">
        <v>17.312683002001489</v>
      </c>
      <c r="I63" s="3" t="str">
        <f>IF(ROWS($I$22:I63)&lt;=n_T,"Training","Validation")</f>
        <v>Training</v>
      </c>
      <c r="J63" s="3">
        <f t="shared" ca="1" si="1"/>
        <v>0.22667465295156808</v>
      </c>
      <c r="K63" s="52"/>
      <c r="L63" s="52"/>
      <c r="M63" s="8"/>
      <c r="N63" s="3"/>
      <c r="O63" s="3">
        <f>Data_All[[#This Row],[A_q]]</f>
        <v>134.81040000000056</v>
      </c>
      <c r="P63" s="3">
        <f ca="1">Data_All[[#This Row],[A_T]]*$C$11</f>
        <v>159.21207986334323</v>
      </c>
      <c r="Q63" s="3" t="str">
        <f>Data_All[[#This Row],[T / V]]</f>
        <v>Training</v>
      </c>
      <c r="R63" s="3">
        <f ca="1">ABS((Estimates_All[[#This Row],[A_q predicted (b=0)]]-Estimates_All[[#This Row],[A_q measured]])/Estimates_All[[#This Row],[A_q measured]])*100</f>
        <v>18.100739900884928</v>
      </c>
      <c r="V63"/>
      <c r="W63"/>
      <c r="X63"/>
      <c r="Y63"/>
      <c r="Z63"/>
      <c r="AA63"/>
    </row>
    <row r="64" spans="1:27" s="2" customFormat="1" x14ac:dyDescent="0.3">
      <c r="A64" s="3" t="s">
        <v>11</v>
      </c>
      <c r="B64" s="3">
        <v>170</v>
      </c>
      <c r="C64" s="3" t="s">
        <v>9</v>
      </c>
      <c r="D64" s="3">
        <v>0.5</v>
      </c>
      <c r="E64" s="3">
        <v>1</v>
      </c>
      <c r="F64" s="3">
        <v>11.393531322500698</v>
      </c>
      <c r="G64" s="3">
        <v>236.18810812499981</v>
      </c>
      <c r="H64" s="3">
        <v>20.730017888181866</v>
      </c>
      <c r="I64" s="3" t="str">
        <f>IF(ROWS($I$22:I64)&lt;=n_T,"Training","Validation")</f>
        <v>Validation</v>
      </c>
      <c r="J64" s="3">
        <f t="shared" ca="1" si="1"/>
        <v>0.19651388490203936</v>
      </c>
      <c r="K64" s="52"/>
      <c r="L64" s="52"/>
      <c r="M64" s="8"/>
      <c r="N64" s="3"/>
      <c r="O64" s="3">
        <f>Data_All[[#This Row],[A_q]]</f>
        <v>236.18810812499981</v>
      </c>
      <c r="P64" s="3">
        <f ca="1">Data_All[[#This Row],[A_T]]*$C$11</f>
        <v>232.95677542036228</v>
      </c>
      <c r="Q64" s="3" t="str">
        <f>Data_All[[#This Row],[T / V]]</f>
        <v>Validation</v>
      </c>
      <c r="R64" s="3">
        <f ca="1">ABS((Estimates_All[[#This Row],[A_q predicted (b=0)]]-Estimates_All[[#This Row],[A_q measured]])/Estimates_All[[#This Row],[A_q measured]])*100</f>
        <v>1.3681182893964299</v>
      </c>
      <c r="V64"/>
      <c r="W64"/>
      <c r="X64"/>
      <c r="Y64"/>
      <c r="Z64"/>
      <c r="AA64"/>
    </row>
    <row r="65" spans="1:27" s="2" customFormat="1" x14ac:dyDescent="0.3">
      <c r="A65" s="3" t="s">
        <v>11</v>
      </c>
      <c r="B65" s="3">
        <v>170</v>
      </c>
      <c r="C65" s="3" t="s">
        <v>9</v>
      </c>
      <c r="D65" s="3">
        <v>1</v>
      </c>
      <c r="E65" s="3">
        <v>3</v>
      </c>
      <c r="F65" s="3">
        <v>12.285332570093937</v>
      </c>
      <c r="G65" s="3">
        <v>256.57732728687955</v>
      </c>
      <c r="H65" s="3">
        <v>20.884849947934107</v>
      </c>
      <c r="I65" s="3" t="str">
        <f>IF(ROWS($I$22:I65)&lt;=n_T,"Training","Validation")</f>
        <v>Validation</v>
      </c>
      <c r="J65" s="3">
        <f t="shared" ca="1" si="1"/>
        <v>0.20031994990524538</v>
      </c>
      <c r="K65" s="52"/>
      <c r="L65" s="52"/>
      <c r="M65" s="8"/>
      <c r="N65" s="3"/>
      <c r="O65" s="3">
        <f>Data_All[[#This Row],[A_q]]</f>
        <v>256.57732728687955</v>
      </c>
      <c r="P65" s="3">
        <f ca="1">Data_All[[#This Row],[A_T]]*$C$11</f>
        <v>251.19090644389283</v>
      </c>
      <c r="Q65" s="3" t="str">
        <f>Data_All[[#This Row],[T / V]]</f>
        <v>Validation</v>
      </c>
      <c r="R65" s="3">
        <f ca="1">ABS((Estimates_All[[#This Row],[A_q predicted (b=0)]]-Estimates_All[[#This Row],[A_q measured]])/Estimates_All[[#This Row],[A_q measured]])*100</f>
        <v>2.0993362507686255</v>
      </c>
      <c r="V65"/>
      <c r="W65"/>
      <c r="X65"/>
      <c r="Y65"/>
      <c r="Z65"/>
      <c r="AA65"/>
    </row>
    <row r="66" spans="1:27" s="2" customFormat="1" x14ac:dyDescent="0.3">
      <c r="A66" s="3" t="s">
        <v>38</v>
      </c>
      <c r="B66" s="3">
        <v>230</v>
      </c>
      <c r="C66" s="3" t="s">
        <v>9</v>
      </c>
      <c r="D66" s="3">
        <v>0.5</v>
      </c>
      <c r="E66" s="3">
        <v>2</v>
      </c>
      <c r="F66" s="3">
        <v>23.56542752499842</v>
      </c>
      <c r="G66" s="3">
        <v>527.06882303249881</v>
      </c>
      <c r="H66" s="3">
        <v>22.366189727446248</v>
      </c>
      <c r="I66" s="3" t="str">
        <f>IF(ROWS($I$22:I66)&lt;=n_T,"Training","Validation")</f>
        <v>Validation</v>
      </c>
      <c r="J66" s="3">
        <f t="shared" ca="1" si="1"/>
        <v>0.99925070917672254</v>
      </c>
      <c r="K66" s="52"/>
      <c r="L66" s="52"/>
      <c r="M66" s="8"/>
      <c r="N66" s="3"/>
      <c r="O66" s="3">
        <f>Data_All[[#This Row],[A_q]]</f>
        <v>527.06882303249881</v>
      </c>
      <c r="P66" s="3">
        <f ca="1">Data_All[[#This Row],[A_T]]*$C$11</f>
        <v>481.82831575530997</v>
      </c>
      <c r="Q66" s="3" t="str">
        <f>Data_All[[#This Row],[T / V]]</f>
        <v>Validation</v>
      </c>
      <c r="R66" s="3">
        <f ca="1">ABS((Estimates_All[[#This Row],[A_q predicted (b=0)]]-Estimates_All[[#This Row],[A_q measured]])/Estimates_All[[#This Row],[A_q measured]])*100</f>
        <v>8.583415542755283</v>
      </c>
      <c r="V66"/>
      <c r="W66"/>
      <c r="X66"/>
      <c r="Y66"/>
      <c r="Z66"/>
      <c r="AA66"/>
    </row>
    <row r="67" spans="1:27" s="2" customFormat="1" x14ac:dyDescent="0.3">
      <c r="A67" s="3" t="s">
        <v>11</v>
      </c>
      <c r="B67" s="3">
        <v>170</v>
      </c>
      <c r="C67" s="3" t="s">
        <v>9</v>
      </c>
      <c r="D67" s="3">
        <v>1</v>
      </c>
      <c r="E67" s="3">
        <v>1</v>
      </c>
      <c r="F67" s="3">
        <v>11.990650156666428</v>
      </c>
      <c r="G67" s="3">
        <v>261.17692526275403</v>
      </c>
      <c r="H67" s="3">
        <v>21.781715073852585</v>
      </c>
      <c r="I67" s="3" t="str">
        <f>IF(ROWS($I$22:I67)&lt;=n_T,"Training","Validation")</f>
        <v>Validation</v>
      </c>
      <c r="J67" s="3">
        <f t="shared" ca="1" si="1"/>
        <v>0.23408237216535754</v>
      </c>
      <c r="K67" s="52"/>
      <c r="L67" s="52"/>
      <c r="M67" s="8"/>
      <c r="N67" s="3"/>
      <c r="O67" s="3">
        <f>Data_All[[#This Row],[A_q]]</f>
        <v>261.17692526275403</v>
      </c>
      <c r="P67" s="3">
        <f ca="1">Data_All[[#This Row],[A_T]]*$C$11</f>
        <v>245.16570996511618</v>
      </c>
      <c r="Q67" s="3" t="str">
        <f>Data_All[[#This Row],[T / V]]</f>
        <v>Validation</v>
      </c>
      <c r="R67" s="3">
        <f ca="1">ABS((Estimates_All[[#This Row],[A_q predicted (b=0)]]-Estimates_All[[#This Row],[A_q measured]])/Estimates_All[[#This Row],[A_q measured]])*100</f>
        <v>6.130409599366387</v>
      </c>
      <c r="V67"/>
      <c r="W67"/>
      <c r="X67"/>
      <c r="Y67"/>
      <c r="Z67"/>
      <c r="AA67"/>
    </row>
    <row r="68" spans="1:27" s="2" customFormat="1" x14ac:dyDescent="0.3">
      <c r="A68" s="3" t="s">
        <v>12</v>
      </c>
      <c r="B68" s="3">
        <v>170</v>
      </c>
      <c r="C68" s="3" t="s">
        <v>9</v>
      </c>
      <c r="D68" s="3">
        <v>1</v>
      </c>
      <c r="E68" s="3">
        <v>3</v>
      </c>
      <c r="F68" s="3">
        <v>17.283599999999968</v>
      </c>
      <c r="G68" s="3">
        <v>360.78210000000001</v>
      </c>
      <c r="H68" s="3">
        <v>20.874244948969007</v>
      </c>
      <c r="I68" s="3" t="str">
        <f>IF(ROWS($I$22:I68)&lt;=n_T,"Training","Validation")</f>
        <v>Validation</v>
      </c>
      <c r="J68" s="3">
        <f t="shared" ca="1" si="1"/>
        <v>0.50195286726657518</v>
      </c>
      <c r="K68" s="52"/>
      <c r="L68" s="52"/>
      <c r="M68" s="8"/>
      <c r="N68" s="3"/>
      <c r="O68" s="3">
        <f>Data_All[[#This Row],[A_q]]</f>
        <v>360.78210000000001</v>
      </c>
      <c r="P68" s="3">
        <f ca="1">Data_All[[#This Row],[A_T]]*$C$11</f>
        <v>353.38751522136954</v>
      </c>
      <c r="Q68" s="3" t="str">
        <f>Data_All[[#This Row],[T / V]]</f>
        <v>Validation</v>
      </c>
      <c r="R68" s="3">
        <f ca="1">ABS((Estimates_All[[#This Row],[A_q predicted (b=0)]]-Estimates_All[[#This Row],[A_q measured]])/Estimates_All[[#This Row],[A_q measured]])*100</f>
        <v>2.0495985744942651</v>
      </c>
      <c r="V68"/>
      <c r="W68"/>
      <c r="X68"/>
      <c r="Y68"/>
      <c r="Z68"/>
      <c r="AA68"/>
    </row>
    <row r="69" spans="1:27" s="2" customFormat="1" x14ac:dyDescent="0.3">
      <c r="A69" s="3" t="s">
        <v>12</v>
      </c>
      <c r="B69" s="3">
        <v>170</v>
      </c>
      <c r="C69" s="3" t="s">
        <v>9</v>
      </c>
      <c r="D69" s="3">
        <v>0.5</v>
      </c>
      <c r="E69" s="3">
        <v>2</v>
      </c>
      <c r="F69" s="3">
        <v>17.790648849835058</v>
      </c>
      <c r="G69" s="3">
        <v>369.31674307917132</v>
      </c>
      <c r="H69" s="3">
        <v>20.759037300800603</v>
      </c>
      <c r="I69" s="3" t="str">
        <f>IF(ROWS($I$22:I69)&lt;=n_T,"Training","Validation")</f>
        <v>Validation</v>
      </c>
      <c r="J69" s="3">
        <f t="shared" ca="1" si="1"/>
        <v>3.3233343349955424E-2</v>
      </c>
      <c r="K69" s="52"/>
      <c r="L69" s="52"/>
      <c r="M69" s="8"/>
      <c r="N69" s="3"/>
      <c r="O69" s="3">
        <f>Data_All[[#This Row],[A_q]]</f>
        <v>369.31674307917132</v>
      </c>
      <c r="P69" s="3">
        <f ca="1">Data_All[[#This Row],[A_T]]*$C$11</f>
        <v>363.75484223304977</v>
      </c>
      <c r="Q69" s="3" t="str">
        <f>Data_All[[#This Row],[T / V]]</f>
        <v>Validation</v>
      </c>
      <c r="R69" s="3">
        <f ca="1">ABS((Estimates_All[[#This Row],[A_q predicted (b=0)]]-Estimates_All[[#This Row],[A_q measured]])/Estimates_All[[#This Row],[A_q measured]])*100</f>
        <v>1.5059974805770526</v>
      </c>
      <c r="V69"/>
      <c r="W69"/>
      <c r="X69"/>
      <c r="Y69"/>
      <c r="Z69"/>
      <c r="AA69"/>
    </row>
    <row r="70" spans="1:27" s="2" customFormat="1" x14ac:dyDescent="0.3">
      <c r="A70" s="3" t="s">
        <v>37</v>
      </c>
      <c r="B70" s="3">
        <v>170</v>
      </c>
      <c r="C70" s="3" t="s">
        <v>9</v>
      </c>
      <c r="D70" s="3">
        <v>1</v>
      </c>
      <c r="E70" s="3">
        <v>2</v>
      </c>
      <c r="F70" s="3">
        <v>20.233381415732683</v>
      </c>
      <c r="G70" s="3">
        <v>404.99093146994852</v>
      </c>
      <c r="H70" s="3">
        <v>20.015978701169711</v>
      </c>
      <c r="I70" s="3" t="str">
        <f>IF(ROWS($I$22:I70)&lt;=n_T,"Training","Validation")</f>
        <v>Validation</v>
      </c>
      <c r="J70" s="3">
        <f t="shared" ca="1" si="1"/>
        <v>0.86226327574054795</v>
      </c>
      <c r="K70" s="52"/>
      <c r="L70" s="52"/>
      <c r="M70" s="8"/>
      <c r="N70" s="3"/>
      <c r="O70" s="3">
        <f>Data_All[[#This Row],[A_q]]</f>
        <v>404.99093146994852</v>
      </c>
      <c r="P70" s="3">
        <f ca="1">Data_All[[#This Row],[A_T]]*$C$11</f>
        <v>413.69994578861014</v>
      </c>
      <c r="Q70" s="3" t="str">
        <f>Data_All[[#This Row],[T / V]]</f>
        <v>Validation</v>
      </c>
      <c r="R70" s="3">
        <f ca="1">ABS((Estimates_All[[#This Row],[A_q predicted (b=0)]]-Estimates_All[[#This Row],[A_q measured]])/Estimates_All[[#This Row],[A_q measured]])*100</f>
        <v>2.150422056872118</v>
      </c>
      <c r="V70"/>
      <c r="W70"/>
      <c r="X70"/>
      <c r="Y70"/>
      <c r="Z70"/>
      <c r="AA70"/>
    </row>
    <row r="71" spans="1:27" s="2" customFormat="1" x14ac:dyDescent="0.3">
      <c r="A71" s="3" t="s">
        <v>8</v>
      </c>
      <c r="B71" s="3">
        <v>170</v>
      </c>
      <c r="C71" s="3" t="s">
        <v>9</v>
      </c>
      <c r="D71" s="3">
        <v>0.5</v>
      </c>
      <c r="E71" s="3">
        <v>1</v>
      </c>
      <c r="F71" s="3">
        <v>9.9350536485328842</v>
      </c>
      <c r="G71" s="3">
        <v>186.11332479736413</v>
      </c>
      <c r="H71" s="3">
        <v>18.732996456928802</v>
      </c>
      <c r="I71" s="3" t="str">
        <f>IF(ROWS($I$22:I71)&lt;=n_T,"Training","Validation")</f>
        <v>Validation</v>
      </c>
      <c r="J71" s="3">
        <f t="shared" ca="1" si="1"/>
        <v>0.59754287266827066</v>
      </c>
      <c r="K71" s="52"/>
      <c r="L71" s="52"/>
      <c r="M71" s="8"/>
      <c r="N71" s="3"/>
      <c r="O71" s="3">
        <f>Data_All[[#This Row],[A_q]]</f>
        <v>186.11332479736413</v>
      </c>
      <c r="P71" s="3">
        <f ca="1">Data_All[[#This Row],[A_T]]*$C$11</f>
        <v>203.13614770337455</v>
      </c>
      <c r="Q71" s="3" t="str">
        <f>Data_All[[#This Row],[T / V]]</f>
        <v>Validation</v>
      </c>
      <c r="R71" s="3">
        <f ca="1">ABS((Estimates_All[[#This Row],[A_q predicted (b=0)]]-Estimates_All[[#This Row],[A_q measured]])/Estimates_All[[#This Row],[A_q measured]])*100</f>
        <v>9.1464826199545222</v>
      </c>
      <c r="V71"/>
      <c r="W71"/>
      <c r="X71"/>
      <c r="Y71"/>
      <c r="Z71"/>
      <c r="AA71"/>
    </row>
    <row r="72" spans="1:27" s="2" customFormat="1" x14ac:dyDescent="0.3">
      <c r="A72" s="3" t="s">
        <v>11</v>
      </c>
      <c r="B72" s="3">
        <v>170</v>
      </c>
      <c r="C72" s="3" t="s">
        <v>9</v>
      </c>
      <c r="D72" s="3">
        <v>0.5</v>
      </c>
      <c r="E72" s="3">
        <v>2</v>
      </c>
      <c r="F72" s="3">
        <v>11.77665961250081</v>
      </c>
      <c r="G72" s="3">
        <v>233.4736145374998</v>
      </c>
      <c r="H72" s="3">
        <v>19.825113590756231</v>
      </c>
      <c r="I72" s="3" t="str">
        <f>IF(ROWS($I$22:I72)&lt;=n_T,"Training","Validation")</f>
        <v>Validation</v>
      </c>
      <c r="J72" s="3">
        <f t="shared" ca="1" si="1"/>
        <v>0.56660637756445742</v>
      </c>
      <c r="K72" s="52"/>
      <c r="L72" s="52"/>
      <c r="M72" s="8"/>
      <c r="N72" s="3"/>
      <c r="O72" s="3">
        <f>Data_All[[#This Row],[A_q]]</f>
        <v>233.4736145374998</v>
      </c>
      <c r="P72" s="3">
        <f ca="1">Data_All[[#This Row],[A_T]]*$C$11</f>
        <v>240.79037226443134</v>
      </c>
      <c r="Q72" s="3" t="str">
        <f>Data_All[[#This Row],[T / V]]</f>
        <v>Validation</v>
      </c>
      <c r="R72" s="3">
        <f ca="1">ABS((Estimates_All[[#This Row],[A_q predicted (b=0)]]-Estimates_All[[#This Row],[A_q measured]])/Estimates_All[[#This Row],[A_q measured]])*100</f>
        <v>3.1338692131981136</v>
      </c>
      <c r="V72"/>
      <c r="W72"/>
      <c r="X72"/>
      <c r="Y72"/>
      <c r="Z72"/>
      <c r="AA72"/>
    </row>
    <row r="73" spans="1:27" s="2" customFormat="1" x14ac:dyDescent="0.3">
      <c r="A73" s="3" t="s">
        <v>11</v>
      </c>
      <c r="B73" s="3">
        <v>170</v>
      </c>
      <c r="C73" s="3" t="s">
        <v>9</v>
      </c>
      <c r="D73" s="3">
        <v>1</v>
      </c>
      <c r="E73" s="3">
        <v>2</v>
      </c>
      <c r="F73" s="3">
        <v>12.414593957682301</v>
      </c>
      <c r="G73" s="3">
        <v>251.89549266775174</v>
      </c>
      <c r="H73" s="3">
        <v>20.290272362220573</v>
      </c>
      <c r="I73" s="3" t="str">
        <f>IF(ROWS($I$22:I73)&lt;=n_T,"Training","Validation")</f>
        <v>Validation</v>
      </c>
      <c r="J73" s="3">
        <f t="shared" ca="1" si="1"/>
        <v>0.30752649838969381</v>
      </c>
      <c r="K73" s="52"/>
      <c r="L73" s="52"/>
      <c r="M73" s="8"/>
      <c r="N73" s="3"/>
      <c r="O73" s="3">
        <f>Data_All[[#This Row],[A_q]]</f>
        <v>251.89549266775174</v>
      </c>
      <c r="P73" s="3">
        <f ca="1">Data_All[[#This Row],[A_T]]*$C$11</f>
        <v>253.83383734798218</v>
      </c>
      <c r="Q73" s="3" t="str">
        <f>Data_All[[#This Row],[T / V]]</f>
        <v>Validation</v>
      </c>
      <c r="R73" s="3">
        <f ca="1">ABS((Estimates_All[[#This Row],[A_q predicted (b=0)]]-Estimates_All[[#This Row],[A_q measured]])/Estimates_All[[#This Row],[A_q measured]])*100</f>
        <v>0.76950351898003411</v>
      </c>
      <c r="V73"/>
      <c r="W73"/>
      <c r="X73"/>
      <c r="Y73"/>
      <c r="Z73"/>
      <c r="AA73"/>
    </row>
    <row r="74" spans="1:27" s="2" customFormat="1" x14ac:dyDescent="0.3">
      <c r="A74" s="3" t="s">
        <v>12</v>
      </c>
      <c r="B74" s="3">
        <v>170</v>
      </c>
      <c r="C74" s="3" t="s">
        <v>10</v>
      </c>
      <c r="D74" s="3">
        <v>0.5</v>
      </c>
      <c r="E74" s="3">
        <v>1</v>
      </c>
      <c r="F74" s="3">
        <v>10.12844069601827</v>
      </c>
      <c r="G74" s="3">
        <v>212.52860331422897</v>
      </c>
      <c r="H74" s="3">
        <v>20.983348739730392</v>
      </c>
      <c r="I74" s="3" t="str">
        <f>IF(ROWS($I$22:I74)&lt;=n_T,"Training","Validation")</f>
        <v>Validation</v>
      </c>
      <c r="J74" s="3">
        <f t="shared" ca="1" si="1"/>
        <v>0.24518703429640198</v>
      </c>
      <c r="K74" s="52"/>
      <c r="L74" s="52"/>
      <c r="M74" s="8"/>
      <c r="N74" s="3"/>
      <c r="O74" s="3">
        <f>Data_All[[#This Row],[A_q]]</f>
        <v>212.52860331422897</v>
      </c>
      <c r="P74" s="3">
        <f ca="1">Data_All[[#This Row],[A_T]]*$C$11</f>
        <v>207.09021793103878</v>
      </c>
      <c r="Q74" s="3" t="str">
        <f>Data_All[[#This Row],[T / V]]</f>
        <v>Validation</v>
      </c>
      <c r="R74" s="3">
        <f ca="1">ABS((Estimates_All[[#This Row],[A_q predicted (b=0)]]-Estimates_All[[#This Row],[A_q measured]])/Estimates_All[[#This Row],[A_q measured]])*100</f>
        <v>2.5588957431529358</v>
      </c>
      <c r="V74"/>
      <c r="W74"/>
      <c r="X74"/>
      <c r="Y74"/>
      <c r="Z74"/>
      <c r="AA74"/>
    </row>
    <row r="75" spans="1:27" s="2" customFormat="1" x14ac:dyDescent="0.3">
      <c r="A75" s="3" t="s">
        <v>11</v>
      </c>
      <c r="B75" s="3">
        <v>170</v>
      </c>
      <c r="C75" s="3" t="s">
        <v>9</v>
      </c>
      <c r="D75" s="3">
        <v>0.5</v>
      </c>
      <c r="E75" s="3">
        <v>3</v>
      </c>
      <c r="F75" s="3">
        <v>14.158822452174912</v>
      </c>
      <c r="G75" s="3">
        <v>270.25498746086953</v>
      </c>
      <c r="H75" s="3">
        <v>19.087391509691273</v>
      </c>
      <c r="I75" s="3" t="str">
        <f>IF(ROWS($I$22:I75)&lt;=n_T,"Training","Validation")</f>
        <v>Validation</v>
      </c>
      <c r="J75" s="3">
        <f t="shared" ca="1" si="1"/>
        <v>0.77202834754613281</v>
      </c>
      <c r="K75" s="52"/>
      <c r="L75" s="52"/>
      <c r="M75" s="8"/>
      <c r="N75" s="3"/>
      <c r="O75" s="3">
        <f>Data_All[[#This Row],[A_q]]</f>
        <v>270.25498746086953</v>
      </c>
      <c r="P75" s="3">
        <f ca="1">Data_All[[#This Row],[A_T]]*$C$11</f>
        <v>289.49704256258184</v>
      </c>
      <c r="Q75" s="3" t="str">
        <f>Data_All[[#This Row],[T / V]]</f>
        <v>Validation</v>
      </c>
      <c r="R75" s="3">
        <f ca="1">ABS((Estimates_All[[#This Row],[A_q predicted (b=0)]]-Estimates_All[[#This Row],[A_q measured]])/Estimates_All[[#This Row],[A_q measured]])*100</f>
        <v>7.1199629958719575</v>
      </c>
      <c r="V75"/>
      <c r="W75"/>
      <c r="X75"/>
      <c r="Y75"/>
      <c r="Z75"/>
      <c r="AA75"/>
    </row>
    <row r="76" spans="1:27" s="2" customFormat="1" x14ac:dyDescent="0.3">
      <c r="A76" s="3" t="s">
        <v>8</v>
      </c>
      <c r="B76" s="3">
        <v>170</v>
      </c>
      <c r="C76" s="3" t="s">
        <v>10</v>
      </c>
      <c r="D76" s="3">
        <v>1</v>
      </c>
      <c r="E76" s="3">
        <v>3</v>
      </c>
      <c r="F76" s="3">
        <v>7.872829771852226</v>
      </c>
      <c r="G76" s="3">
        <v>156.15565369073173</v>
      </c>
      <c r="H76" s="3">
        <v>19.834755509262493</v>
      </c>
      <c r="I76" s="3" t="str">
        <f>IF(ROWS($I$22:I76)&lt;=n_T,"Training","Validation")</f>
        <v>Validation</v>
      </c>
      <c r="J76" s="3">
        <f t="shared" ca="1" si="1"/>
        <v>0.86684285348332402</v>
      </c>
      <c r="K76" s="52"/>
      <c r="L76" s="52"/>
      <c r="M76" s="8"/>
      <c r="N76" s="3"/>
      <c r="O76" s="3">
        <f>Data_All[[#This Row],[A_q]]</f>
        <v>156.15565369073173</v>
      </c>
      <c r="P76" s="3">
        <f ca="1">Data_All[[#This Row],[A_T]]*$C$11</f>
        <v>160.97107956882161</v>
      </c>
      <c r="Q76" s="3" t="str">
        <f>Data_All[[#This Row],[T / V]]</f>
        <v>Validation</v>
      </c>
      <c r="R76" s="3">
        <f ca="1">ABS((Estimates_All[[#This Row],[A_q predicted (b=0)]]-Estimates_All[[#This Row],[A_q measured]])/Estimates_All[[#This Row],[A_q measured]])*100</f>
        <v>3.083734571421215</v>
      </c>
      <c r="V76"/>
      <c r="W76"/>
      <c r="X76"/>
      <c r="Y76"/>
      <c r="Z76"/>
      <c r="AA76"/>
    </row>
    <row r="77" spans="1:27" s="2" customFormat="1" x14ac:dyDescent="0.3">
      <c r="A77" s="3" t="s">
        <v>11</v>
      </c>
      <c r="B77" s="3">
        <v>170</v>
      </c>
      <c r="C77" s="3" t="s">
        <v>10</v>
      </c>
      <c r="D77" s="3">
        <v>1</v>
      </c>
      <c r="E77" s="3">
        <v>1</v>
      </c>
      <c r="F77" s="3">
        <v>11.064381075029758</v>
      </c>
      <c r="G77" s="3">
        <v>222.77243533078848</v>
      </c>
      <c r="H77" s="3">
        <v>20.134197640168441</v>
      </c>
      <c r="I77" s="3" t="str">
        <f>IF(ROWS($I$22:I77)&lt;=n_T,"Training","Validation")</f>
        <v>Validation</v>
      </c>
      <c r="J77" s="3">
        <f t="shared" ca="1" si="1"/>
        <v>0.51637090956733389</v>
      </c>
      <c r="K77" s="52"/>
      <c r="L77" s="52"/>
      <c r="M77" s="8"/>
      <c r="N77" s="3"/>
      <c r="O77" s="3">
        <f>Data_All[[#This Row],[A_q]]</f>
        <v>222.77243533078848</v>
      </c>
      <c r="P77" s="3">
        <f ca="1">Data_All[[#This Row],[A_T]]*$C$11</f>
        <v>226.22683558790521</v>
      </c>
      <c r="Q77" s="3" t="str">
        <f>Data_All[[#This Row],[T / V]]</f>
        <v>Validation</v>
      </c>
      <c r="R77" s="3">
        <f ca="1">ABS((Estimates_All[[#This Row],[A_q predicted (b=0)]]-Estimates_All[[#This Row],[A_q measured]])/Estimates_All[[#This Row],[A_q measured]])*100</f>
        <v>1.5506407926938492</v>
      </c>
      <c r="V77"/>
      <c r="W77"/>
      <c r="X77"/>
      <c r="Y77"/>
      <c r="Z77"/>
      <c r="AA77"/>
    </row>
    <row r="78" spans="1:27" s="2" customFormat="1" x14ac:dyDescent="0.3">
      <c r="A78" s="3" t="s">
        <v>37</v>
      </c>
      <c r="B78" s="3">
        <v>170</v>
      </c>
      <c r="C78" s="3" t="s">
        <v>9</v>
      </c>
      <c r="D78" s="3">
        <v>0.5</v>
      </c>
      <c r="E78" s="3">
        <v>1</v>
      </c>
      <c r="F78" s="3">
        <v>19.795800000000789</v>
      </c>
      <c r="G78" s="3">
        <v>417.0263999999998</v>
      </c>
      <c r="H78" s="3">
        <v>21.066408025944046</v>
      </c>
      <c r="I78" s="3" t="str">
        <f>IF(ROWS($I$22:I78)&lt;=n_T,"Training","Validation")</f>
        <v>Validation</v>
      </c>
      <c r="J78" s="3">
        <f t="shared" ca="1" si="1"/>
        <v>0.83184041846001489</v>
      </c>
      <c r="K78" s="52"/>
      <c r="L78" s="52"/>
      <c r="M78" s="8"/>
      <c r="N78" s="3"/>
      <c r="O78" s="3">
        <f>Data_All[[#This Row],[A_q]]</f>
        <v>417.0263999999998</v>
      </c>
      <c r="P78" s="3">
        <f ca="1">Data_All[[#This Row],[A_T]]*$C$11</f>
        <v>404.75297818854165</v>
      </c>
      <c r="Q78" s="3" t="str">
        <f>Data_All[[#This Row],[T / V]]</f>
        <v>Validation</v>
      </c>
      <c r="R78" s="3">
        <f ca="1">ABS((Estimates_All[[#This Row],[A_q predicted (b=0)]]-Estimates_All[[#This Row],[A_q measured]])/Estimates_All[[#This Row],[A_q measured]])*100</f>
        <v>2.9430802969447871</v>
      </c>
      <c r="V78"/>
      <c r="W78"/>
      <c r="X78"/>
      <c r="Y78"/>
      <c r="Z78"/>
      <c r="AA78"/>
    </row>
    <row r="79" spans="1:27" s="2" customFormat="1" x14ac:dyDescent="0.3">
      <c r="A79" s="3" t="s">
        <v>11</v>
      </c>
      <c r="B79" s="3">
        <v>170</v>
      </c>
      <c r="C79" s="3" t="s">
        <v>10</v>
      </c>
      <c r="D79" s="3">
        <v>0.5</v>
      </c>
      <c r="E79" s="3">
        <v>1</v>
      </c>
      <c r="F79" s="3">
        <v>12.236660066643104</v>
      </c>
      <c r="G79" s="3">
        <v>246.42412532412126</v>
      </c>
      <c r="H79" s="3">
        <v>20.138185091524168</v>
      </c>
      <c r="I79" s="3" t="str">
        <f>IF(ROWS($I$22:I79)&lt;=n_T,"Training","Validation")</f>
        <v>Validation</v>
      </c>
      <c r="J79" s="3">
        <f t="shared" ca="1" si="1"/>
        <v>0.39059089158642057</v>
      </c>
      <c r="K79" s="52"/>
      <c r="L79" s="52"/>
      <c r="M79" s="8"/>
      <c r="N79" s="3"/>
      <c r="O79" s="3">
        <f>Data_All[[#This Row],[A_q]]</f>
        <v>246.42412532412126</v>
      </c>
      <c r="P79" s="3">
        <f ca="1">Data_All[[#This Row],[A_T]]*$C$11</f>
        <v>250.1957286421563</v>
      </c>
      <c r="Q79" s="3" t="str">
        <f>Data_All[[#This Row],[T / V]]</f>
        <v>Validation</v>
      </c>
      <c r="R79" s="3">
        <f ca="1">ABS((Estimates_All[[#This Row],[A_q predicted (b=0)]]-Estimates_All[[#This Row],[A_q measured]])/Estimates_All[[#This Row],[A_q measured]])*100</f>
        <v>1.5305333084064923</v>
      </c>
      <c r="V79"/>
      <c r="W79"/>
      <c r="X79"/>
      <c r="Y79"/>
      <c r="Z79"/>
      <c r="AA79"/>
    </row>
    <row r="80" spans="1:27" s="2" customFormat="1" x14ac:dyDescent="0.3">
      <c r="A80" s="3" t="s">
        <v>12</v>
      </c>
      <c r="B80" s="3">
        <v>170</v>
      </c>
      <c r="C80" s="3" t="s">
        <v>9</v>
      </c>
      <c r="D80" s="3">
        <v>0.5</v>
      </c>
      <c r="E80" s="3">
        <v>3</v>
      </c>
      <c r="F80" s="3">
        <v>15.972408843058197</v>
      </c>
      <c r="G80" s="3">
        <v>309.82490270263133</v>
      </c>
      <c r="H80" s="3">
        <v>19.397506396618752</v>
      </c>
      <c r="I80" s="3" t="str">
        <f>IF(ROWS($I$22:I80)&lt;=n_T,"Training","Validation")</f>
        <v>Validation</v>
      </c>
      <c r="J80" s="3">
        <f t="shared" ca="1" si="1"/>
        <v>0.92895445052083292</v>
      </c>
      <c r="K80" s="52"/>
      <c r="L80" s="52"/>
      <c r="M80" s="8"/>
      <c r="N80" s="3"/>
      <c r="O80" s="3">
        <f>Data_All[[#This Row],[A_q]]</f>
        <v>309.82490270263133</v>
      </c>
      <c r="P80" s="3">
        <f ca="1">Data_All[[#This Row],[A_T]]*$C$11</f>
        <v>326.57836753617164</v>
      </c>
      <c r="Q80" s="3" t="str">
        <f>Data_All[[#This Row],[T / V]]</f>
        <v>Validation</v>
      </c>
      <c r="R80" s="3">
        <f ca="1">ABS((Estimates_All[[#This Row],[A_q predicted (b=0)]]-Estimates_All[[#This Row],[A_q measured]])/Estimates_All[[#This Row],[A_q measured]])*100</f>
        <v>5.4073977551185459</v>
      </c>
      <c r="V80"/>
      <c r="W80"/>
      <c r="X80"/>
      <c r="Y80"/>
      <c r="Z80"/>
      <c r="AA80"/>
    </row>
    <row r="81" spans="1:18" x14ac:dyDescent="0.3">
      <c r="A81" s="3" t="s">
        <v>38</v>
      </c>
      <c r="B81" s="3">
        <v>230</v>
      </c>
      <c r="C81" s="3" t="s">
        <v>10</v>
      </c>
      <c r="D81" s="3">
        <v>0.5</v>
      </c>
      <c r="E81" s="3">
        <v>2</v>
      </c>
      <c r="F81" s="3">
        <v>22.836000000008426</v>
      </c>
      <c r="G81" s="3">
        <v>554.20560000000489</v>
      </c>
      <c r="H81" s="3">
        <v>24.268943772981274</v>
      </c>
      <c r="I81" s="3" t="str">
        <f>IF(ROWS($I$22:I81)&lt;=n_T,"Training","Validation")</f>
        <v>Validation</v>
      </c>
      <c r="J81" s="3">
        <f t="shared" ca="1" si="1"/>
        <v>0.80682742044069411</v>
      </c>
      <c r="K81" s="52"/>
      <c r="L81" s="52"/>
      <c r="O81" s="3">
        <f>Data_All[[#This Row],[A_q]]</f>
        <v>554.20560000000489</v>
      </c>
      <c r="P81" s="3">
        <f ca="1">Data_All[[#This Row],[A_T]]*$C$11</f>
        <v>466.91414390510005</v>
      </c>
      <c r="Q81" s="3" t="str">
        <f>Data_All[[#This Row],[T / V]]</f>
        <v>Validation</v>
      </c>
      <c r="R81" s="3">
        <f ca="1">ABS((Estimates_All[[#This Row],[A_q predicted (b=0)]]-Estimates_All[[#This Row],[A_q measured]])/Estimates_All[[#This Row],[A_q measured]])*100</f>
        <v>15.750735123373721</v>
      </c>
    </row>
    <row r="82" spans="1:18" x14ac:dyDescent="0.3">
      <c r="K82" s="52"/>
      <c r="L82" s="52"/>
    </row>
    <row r="83" spans="1:18" x14ac:dyDescent="0.3">
      <c r="K83" s="52"/>
      <c r="L83" s="52"/>
    </row>
    <row r="84" spans="1:18" x14ac:dyDescent="0.3">
      <c r="A84" s="55" t="str" cm="1">
        <f t="array" aca="1" ref="A84:J125" ca="1">_xlfn._xlws.FILTER(Data_All[],Data_All[T / V]="Training")</f>
        <v>RT8</v>
      </c>
      <c r="B84" s="65">
        <f ca="1"/>
        <v>170</v>
      </c>
      <c r="C84" s="65" t="str">
        <f ca="1"/>
        <v>Solidification</v>
      </c>
      <c r="D84" s="65">
        <f ca="1"/>
        <v>0.5</v>
      </c>
      <c r="E84" s="65">
        <f ca="1"/>
        <v>3</v>
      </c>
      <c r="F84" s="65">
        <f ca="1"/>
        <v>7.7242423058830347</v>
      </c>
      <c r="G84" s="65">
        <f ca="1"/>
        <v>178.55986063999978</v>
      </c>
      <c r="H84" s="65">
        <f ca="1"/>
        <v>23.116812441785104</v>
      </c>
      <c r="I84" s="65" t="str">
        <f ca="1"/>
        <v>Training</v>
      </c>
      <c r="J84" s="66">
        <f ca="1"/>
        <v>0.56355947716623034</v>
      </c>
      <c r="K84" s="21">
        <f ca="1">G84-$C$11*F84</f>
        <v>20.626860834184299</v>
      </c>
      <c r="L84" s="21">
        <f t="shared" ref="L84:L108" ca="1" si="2">G84-AVERAGE($G$84:$G$138)</f>
        <v>-143.72755758312417</v>
      </c>
      <c r="M84" s="54"/>
      <c r="N84" s="53"/>
      <c r="O84" s="55" cm="1">
        <f t="array" aca="1" ref="O84:R125" ca="1">_xlfn._xlws.FILTER(Estimates_All[],Estimates_All[T / V]="Training")</f>
        <v>178.55986063999978</v>
      </c>
      <c r="P84" s="65">
        <f ca="1"/>
        <v>157.93299980581548</v>
      </c>
      <c r="Q84" s="65" t="str">
        <f ca="1"/>
        <v>Training</v>
      </c>
      <c r="R84" s="66">
        <f ca="1"/>
        <v>11.551790396930679</v>
      </c>
    </row>
    <row r="85" spans="1:18" x14ac:dyDescent="0.3">
      <c r="A85" s="67" t="str">
        <f ca="1"/>
        <v>RT8 (15mm)</v>
      </c>
      <c r="B85" s="53">
        <f ca="1"/>
        <v>170</v>
      </c>
      <c r="C85" s="53" t="str">
        <f ca="1"/>
        <v>Melting</v>
      </c>
      <c r="D85" s="53">
        <f ca="1"/>
        <v>1</v>
      </c>
      <c r="E85" s="53">
        <f ca="1"/>
        <v>3</v>
      </c>
      <c r="F85" s="53">
        <f ca="1"/>
        <v>17.970455508345797</v>
      </c>
      <c r="G85" s="53">
        <f ca="1"/>
        <v>340.37905812139587</v>
      </c>
      <c r="H85" s="53">
        <f ca="1"/>
        <v>18.941036745747365</v>
      </c>
      <c r="I85" s="53" t="str">
        <f ca="1"/>
        <v>Training</v>
      </c>
      <c r="J85" s="68">
        <f ca="1"/>
        <v>0.24761611945546669</v>
      </c>
      <c r="K85" s="21">
        <f t="shared" ref="K85:K108" ca="1" si="3">G85-$C$11*F85</f>
        <v>-27.052184182898714</v>
      </c>
      <c r="L85" s="21">
        <f t="shared" ca="1" si="2"/>
        <v>18.091639898271922</v>
      </c>
      <c r="M85" s="54"/>
      <c r="N85" s="53"/>
      <c r="O85" s="67">
        <f ca="1"/>
        <v>340.37905812139587</v>
      </c>
      <c r="P85" s="53">
        <f ca="1"/>
        <v>367.43124230429459</v>
      </c>
      <c r="Q85" s="53" t="str">
        <f ca="1"/>
        <v>Training</v>
      </c>
      <c r="R85" s="68">
        <f ca="1"/>
        <v>7.9476640931448186</v>
      </c>
    </row>
    <row r="86" spans="1:18" x14ac:dyDescent="0.3">
      <c r="A86" s="67" t="str">
        <f ca="1"/>
        <v>RT24</v>
      </c>
      <c r="B86" s="53">
        <f ca="1"/>
        <v>170</v>
      </c>
      <c r="C86" s="53" t="str">
        <f ca="1"/>
        <v>Melting</v>
      </c>
      <c r="D86" s="53">
        <f ca="1"/>
        <v>1</v>
      </c>
      <c r="E86" s="53">
        <f ca="1"/>
        <v>3</v>
      </c>
      <c r="F86" s="53">
        <f ca="1"/>
        <v>7.7994267951314553</v>
      </c>
      <c r="G86" s="53">
        <f ca="1"/>
        <v>182.63889794765294</v>
      </c>
      <c r="H86" s="53">
        <f ca="1"/>
        <v>23.416964187888716</v>
      </c>
      <c r="I86" s="53" t="str">
        <f ca="1"/>
        <v>Training</v>
      </c>
      <c r="J86" s="68">
        <f ca="1"/>
        <v>0.99202312879945054</v>
      </c>
      <c r="K86" s="21">
        <f t="shared" ca="1" si="3"/>
        <v>23.16864549547401</v>
      </c>
      <c r="L86" s="21">
        <f t="shared" ca="1" si="2"/>
        <v>-139.64852027547101</v>
      </c>
      <c r="M86" s="54"/>
      <c r="N86" s="53"/>
      <c r="O86" s="67">
        <f ca="1"/>
        <v>182.63889794765294</v>
      </c>
      <c r="P86" s="53">
        <f ca="1"/>
        <v>159.47025245217893</v>
      </c>
      <c r="Q86" s="53" t="str">
        <f ca="1"/>
        <v>Training</v>
      </c>
      <c r="R86" s="68">
        <f ca="1"/>
        <v>12.685493482398527</v>
      </c>
    </row>
    <row r="87" spans="1:18" x14ac:dyDescent="0.3">
      <c r="A87" s="67" t="str">
        <f ca="1"/>
        <v>RT24</v>
      </c>
      <c r="B87" s="53">
        <f ca="1"/>
        <v>170</v>
      </c>
      <c r="C87" s="53" t="str">
        <f ca="1"/>
        <v>Melting</v>
      </c>
      <c r="D87" s="53">
        <f ca="1"/>
        <v>0.5</v>
      </c>
      <c r="E87" s="53">
        <f ca="1"/>
        <v>2</v>
      </c>
      <c r="F87" s="53">
        <f ca="1"/>
        <v>11.275199999993378</v>
      </c>
      <c r="G87" s="53">
        <f ca="1"/>
        <v>242.68199999999436</v>
      </c>
      <c r="H87" s="53">
        <f ca="1"/>
        <v>21.523520647096007</v>
      </c>
      <c r="I87" s="53" t="str">
        <f ca="1"/>
        <v>Training</v>
      </c>
      <c r="J87" s="68">
        <f ca="1"/>
        <v>0.14456447774221026</v>
      </c>
      <c r="K87" s="21">
        <f t="shared" ca="1" si="3"/>
        <v>12.144674927575835</v>
      </c>
      <c r="L87" s="21">
        <f t="shared" ca="1" si="2"/>
        <v>-79.60541822312959</v>
      </c>
      <c r="M87" s="54"/>
      <c r="N87" s="53"/>
      <c r="O87" s="67">
        <f ca="1"/>
        <v>242.68199999999436</v>
      </c>
      <c r="P87" s="53">
        <f ca="1"/>
        <v>230.53732507241853</v>
      </c>
      <c r="Q87" s="53" t="str">
        <f ca="1"/>
        <v>Training</v>
      </c>
      <c r="R87" s="68">
        <f ca="1"/>
        <v>5.0043575244872374</v>
      </c>
    </row>
    <row r="88" spans="1:18" x14ac:dyDescent="0.3">
      <c r="A88" s="67" t="str">
        <f ca="1"/>
        <v>RT8</v>
      </c>
      <c r="B88" s="53">
        <f ca="1"/>
        <v>170</v>
      </c>
      <c r="C88" s="53" t="str">
        <f ca="1"/>
        <v>Solidification</v>
      </c>
      <c r="D88" s="53">
        <f ca="1"/>
        <v>1</v>
      </c>
      <c r="E88" s="53">
        <f ca="1"/>
        <v>1</v>
      </c>
      <c r="F88" s="53">
        <f ca="1"/>
        <v>6.9743999999999957</v>
      </c>
      <c r="G88" s="53">
        <f ca="1"/>
        <v>169.83240000000004</v>
      </c>
      <c r="H88" s="53">
        <f ca="1"/>
        <v>24.350825877494856</v>
      </c>
      <c r="I88" s="53" t="str">
        <f ca="1"/>
        <v>Training</v>
      </c>
      <c r="J88" s="68">
        <f ca="1"/>
        <v>0.6454967019468596</v>
      </c>
      <c r="K88" s="21">
        <f t="shared" ca="1" si="3"/>
        <v>27.230980957675371</v>
      </c>
      <c r="L88" s="21">
        <f t="shared" ca="1" si="2"/>
        <v>-152.45501822312391</v>
      </c>
      <c r="M88" s="54"/>
      <c r="N88" s="53"/>
      <c r="O88" s="67">
        <f ca="1"/>
        <v>169.83240000000004</v>
      </c>
      <c r="P88" s="53">
        <f ca="1"/>
        <v>142.60141904232466</v>
      </c>
      <c r="Q88" s="53" t="str">
        <f ca="1"/>
        <v>Training</v>
      </c>
      <c r="R88" s="68">
        <f ca="1"/>
        <v>16.034031761710583</v>
      </c>
    </row>
    <row r="89" spans="1:18" x14ac:dyDescent="0.3">
      <c r="A89" s="67" t="str">
        <f ca="1"/>
        <v>RT18</v>
      </c>
      <c r="B89" s="53">
        <f ca="1"/>
        <v>230</v>
      </c>
      <c r="C89" s="53" t="str">
        <f ca="1"/>
        <v>Solidification</v>
      </c>
      <c r="D89" s="53">
        <f ca="1"/>
        <v>0.5</v>
      </c>
      <c r="E89" s="53">
        <f ca="1"/>
        <v>3</v>
      </c>
      <c r="F89" s="53">
        <f ca="1"/>
        <v>24.450227664000003</v>
      </c>
      <c r="G89" s="53">
        <f ca="1"/>
        <v>552.97144175999995</v>
      </c>
      <c r="H89" s="53">
        <f ca="1"/>
        <v>22.6162083</v>
      </c>
      <c r="I89" s="53" t="str">
        <f ca="1"/>
        <v>Training</v>
      </c>
      <c r="J89" s="68">
        <f ca="1"/>
        <v>0.18679567915782647</v>
      </c>
      <c r="K89" s="21">
        <f t="shared" ca="1" si="3"/>
        <v>53.05214249492974</v>
      </c>
      <c r="L89" s="21">
        <f t="shared" ca="1" si="2"/>
        <v>230.684023536876</v>
      </c>
      <c r="M89" s="54"/>
      <c r="N89" s="53"/>
      <c r="O89" s="67">
        <f ca="1"/>
        <v>552.97144175999995</v>
      </c>
      <c r="P89" s="53">
        <f ca="1"/>
        <v>499.91929926507021</v>
      </c>
      <c r="Q89" s="53" t="str">
        <f ca="1"/>
        <v>Training</v>
      </c>
      <c r="R89" s="68">
        <f ca="1"/>
        <v>9.5940112795111343</v>
      </c>
    </row>
    <row r="90" spans="1:18" x14ac:dyDescent="0.3">
      <c r="A90" s="67" t="str">
        <f ca="1"/>
        <v>RT11</v>
      </c>
      <c r="B90" s="53">
        <f ca="1"/>
        <v>170</v>
      </c>
      <c r="C90" s="53" t="str">
        <f ca="1"/>
        <v>Melting</v>
      </c>
      <c r="D90" s="53">
        <f ca="1"/>
        <v>1</v>
      </c>
      <c r="E90" s="53">
        <f ca="1"/>
        <v>3</v>
      </c>
      <c r="F90" s="53">
        <f ca="1"/>
        <v>11.550733538461678</v>
      </c>
      <c r="G90" s="53">
        <f ca="1"/>
        <v>217.6355087985477</v>
      </c>
      <c r="H90" s="53">
        <f ca="1"/>
        <v>18.84170456134791</v>
      </c>
      <c r="I90" s="53" t="str">
        <f ca="1"/>
        <v>Training</v>
      </c>
      <c r="J90" s="68">
        <f ca="1"/>
        <v>0.37823555104426287</v>
      </c>
      <c r="K90" s="21">
        <f t="shared" ca="1" si="3"/>
        <v>-18.53548706696165</v>
      </c>
      <c r="L90" s="21">
        <f t="shared" ca="1" si="2"/>
        <v>-104.65190942457625</v>
      </c>
      <c r="M90" s="54"/>
      <c r="N90" s="53"/>
      <c r="O90" s="67">
        <f ca="1"/>
        <v>217.6355087985477</v>
      </c>
      <c r="P90" s="53">
        <f ca="1"/>
        <v>236.17099586550935</v>
      </c>
      <c r="Q90" s="53" t="str">
        <f ca="1"/>
        <v>Training</v>
      </c>
      <c r="R90" s="68">
        <f ca="1"/>
        <v>8.5167568331502608</v>
      </c>
    </row>
    <row r="91" spans="1:18" x14ac:dyDescent="0.3">
      <c r="A91" s="67" t="str">
        <f ca="1"/>
        <v>RT8</v>
      </c>
      <c r="B91" s="53">
        <f ca="1"/>
        <v>170</v>
      </c>
      <c r="C91" s="53" t="str">
        <f ca="1"/>
        <v>Solidification</v>
      </c>
      <c r="D91" s="53">
        <f ca="1"/>
        <v>0.5</v>
      </c>
      <c r="E91" s="53">
        <f ca="1"/>
        <v>2</v>
      </c>
      <c r="F91" s="53">
        <f ca="1"/>
        <v>8.9898000000008089</v>
      </c>
      <c r="G91" s="53">
        <f ca="1"/>
        <v>184.20239999999984</v>
      </c>
      <c r="H91" s="53">
        <f ca="1"/>
        <v>20.490155509575661</v>
      </c>
      <c r="I91" s="53" t="str">
        <f ca="1"/>
        <v>Training</v>
      </c>
      <c r="J91" s="68">
        <f ca="1"/>
        <v>0.98972196436145199</v>
      </c>
      <c r="K91" s="21">
        <f t="shared" ca="1" si="3"/>
        <v>0.39329285002185088</v>
      </c>
      <c r="L91" s="21">
        <f t="shared" ca="1" si="2"/>
        <v>-138.08501822312411</v>
      </c>
      <c r="M91" s="54"/>
      <c r="N91" s="53"/>
      <c r="O91" s="67">
        <f ca="1"/>
        <v>184.20239999999984</v>
      </c>
      <c r="P91" s="53">
        <f ca="1"/>
        <v>183.80910714997799</v>
      </c>
      <c r="Q91" s="53" t="str">
        <f ca="1"/>
        <v>Training</v>
      </c>
      <c r="R91" s="68">
        <f ca="1"/>
        <v>0.21351125176536853</v>
      </c>
    </row>
    <row r="92" spans="1:18" x14ac:dyDescent="0.3">
      <c r="A92" s="67" t="str">
        <f ca="1"/>
        <v>RT8</v>
      </c>
      <c r="B92" s="53">
        <f ca="1"/>
        <v>170</v>
      </c>
      <c r="C92" s="53" t="str">
        <f ca="1"/>
        <v>Melting</v>
      </c>
      <c r="D92" s="53">
        <f ca="1"/>
        <v>1</v>
      </c>
      <c r="E92" s="53">
        <f ca="1"/>
        <v>2</v>
      </c>
      <c r="F92" s="53">
        <f ca="1"/>
        <v>9.3620263278695397</v>
      </c>
      <c r="G92" s="53">
        <f ca="1"/>
        <v>159.24805774971136</v>
      </c>
      <c r="H92" s="53">
        <f ca="1"/>
        <v>17.009998922525028</v>
      </c>
      <c r="I92" s="53" t="str">
        <f ca="1"/>
        <v>Training</v>
      </c>
      <c r="J92" s="68">
        <f ca="1"/>
        <v>0.29233076919439704</v>
      </c>
      <c r="K92" s="21">
        <f t="shared" ca="1" si="3"/>
        <v>-32.171740292528995</v>
      </c>
      <c r="L92" s="21">
        <f t="shared" ca="1" si="2"/>
        <v>-163.03936047341259</v>
      </c>
      <c r="M92" s="54"/>
      <c r="N92" s="53"/>
      <c r="O92" s="67">
        <f ca="1"/>
        <v>159.24805774971136</v>
      </c>
      <c r="P92" s="53">
        <f ca="1"/>
        <v>191.41979804224036</v>
      </c>
      <c r="Q92" s="53" t="str">
        <f ca="1"/>
        <v>Training</v>
      </c>
      <c r="R92" s="68">
        <f ca="1"/>
        <v>20.202281112334198</v>
      </c>
    </row>
    <row r="93" spans="1:18" x14ac:dyDescent="0.3">
      <c r="A93" s="67" t="str">
        <f ca="1"/>
        <v>RT8 (15mm)</v>
      </c>
      <c r="B93" s="53">
        <f ca="1"/>
        <v>170</v>
      </c>
      <c r="C93" s="53" t="str">
        <f ca="1"/>
        <v>Melting</v>
      </c>
      <c r="D93" s="53">
        <f ca="1"/>
        <v>1</v>
      </c>
      <c r="E93" s="53">
        <f ca="1"/>
        <v>1</v>
      </c>
      <c r="F93" s="53">
        <f ca="1"/>
        <v>14.619000000000637</v>
      </c>
      <c r="G93" s="53">
        <f ca="1"/>
        <v>301.61215956541196</v>
      </c>
      <c r="H93" s="53">
        <f ca="1"/>
        <v>20.631517857951902</v>
      </c>
      <c r="I93" s="53" t="str">
        <f ca="1"/>
        <v>Training</v>
      </c>
      <c r="J93" s="68">
        <f ca="1"/>
        <v>8.3610727038279098E-2</v>
      </c>
      <c r="K93" s="21">
        <f t="shared" ca="1" si="3"/>
        <v>2.7061396956257795</v>
      </c>
      <c r="L93" s="21">
        <f t="shared" ca="1" si="2"/>
        <v>-20.675258657711993</v>
      </c>
      <c r="M93" s="54"/>
      <c r="N93" s="53"/>
      <c r="O93" s="67">
        <f ca="1"/>
        <v>301.61215956541196</v>
      </c>
      <c r="P93" s="53">
        <f ca="1"/>
        <v>298.90601986978618</v>
      </c>
      <c r="Q93" s="53" t="str">
        <f ca="1"/>
        <v>Training</v>
      </c>
      <c r="R93" s="68">
        <f ca="1"/>
        <v>0.89722499899374475</v>
      </c>
    </row>
    <row r="94" spans="1:18" x14ac:dyDescent="0.3">
      <c r="A94" s="67" t="str">
        <f ca="1"/>
        <v>RT11</v>
      </c>
      <c r="B94" s="53">
        <f ca="1"/>
        <v>170</v>
      </c>
      <c r="C94" s="53" t="str">
        <f ca="1"/>
        <v>Melting</v>
      </c>
      <c r="D94" s="53">
        <f ca="1"/>
        <v>1</v>
      </c>
      <c r="E94" s="53">
        <f ca="1"/>
        <v>2</v>
      </c>
      <c r="F94" s="53">
        <f ca="1"/>
        <v>11.370389065312706</v>
      </c>
      <c r="G94" s="53">
        <f ca="1"/>
        <v>218.07088535308668</v>
      </c>
      <c r="H94" s="53">
        <f ca="1"/>
        <v>19.178841119724638</v>
      </c>
      <c r="I94" s="53" t="str">
        <f ca="1"/>
        <v>Training</v>
      </c>
      <c r="J94" s="68">
        <f ca="1"/>
        <v>0.30219004865213939</v>
      </c>
      <c r="K94" s="21">
        <f t="shared" ca="1" si="3"/>
        <v>-14.412714064343419</v>
      </c>
      <c r="L94" s="21">
        <f t="shared" ca="1" si="2"/>
        <v>-104.21653287003727</v>
      </c>
      <c r="M94" s="54"/>
      <c r="N94" s="53"/>
      <c r="O94" s="67">
        <f ca="1"/>
        <v>218.07088535308668</v>
      </c>
      <c r="P94" s="53">
        <f ca="1"/>
        <v>232.4835994174301</v>
      </c>
      <c r="Q94" s="53" t="str">
        <f ca="1"/>
        <v>Training</v>
      </c>
      <c r="R94" s="68">
        <f ca="1"/>
        <v>6.6091876689578513</v>
      </c>
    </row>
    <row r="95" spans="1:18" x14ac:dyDescent="0.3">
      <c r="A95" s="67" t="str">
        <f ca="1"/>
        <v>RT24</v>
      </c>
      <c r="B95" s="53">
        <f ca="1"/>
        <v>170</v>
      </c>
      <c r="C95" s="53" t="str">
        <f ca="1"/>
        <v>Melting</v>
      </c>
      <c r="D95" s="53">
        <f ca="1"/>
        <v>0.5</v>
      </c>
      <c r="E95" s="53">
        <f ca="1"/>
        <v>3</v>
      </c>
      <c r="F95" s="53">
        <f ca="1"/>
        <v>12.827573007786603</v>
      </c>
      <c r="G95" s="53">
        <f ca="1"/>
        <v>256.02550949111617</v>
      </c>
      <c r="H95" s="53">
        <f ca="1"/>
        <v>19.958998427504827</v>
      </c>
      <c r="I95" s="53" t="str">
        <f ca="1"/>
        <v>Training</v>
      </c>
      <c r="J95" s="68">
        <f ca="1"/>
        <v>0.42260765651258914</v>
      </c>
      <c r="K95" s="21">
        <f t="shared" ca="1" si="3"/>
        <v>-6.252265482987923</v>
      </c>
      <c r="L95" s="21">
        <f t="shared" ca="1" si="2"/>
        <v>-66.261908732007782</v>
      </c>
      <c r="M95" s="54"/>
      <c r="N95" s="53"/>
      <c r="O95" s="67">
        <f ca="1"/>
        <v>256.02550949111617</v>
      </c>
      <c r="P95" s="53">
        <f ca="1"/>
        <v>262.27777497410409</v>
      </c>
      <c r="Q95" s="53" t="str">
        <f ca="1"/>
        <v>Training</v>
      </c>
      <c r="R95" s="68">
        <f ca="1"/>
        <v>2.4420478628926898</v>
      </c>
    </row>
    <row r="96" spans="1:18" x14ac:dyDescent="0.3">
      <c r="A96" s="67" t="str">
        <f ca="1"/>
        <v>RT18</v>
      </c>
      <c r="B96" s="53">
        <f ca="1"/>
        <v>230</v>
      </c>
      <c r="C96" s="53" t="str">
        <f ca="1"/>
        <v>Solidification</v>
      </c>
      <c r="D96" s="53">
        <f ca="1"/>
        <v>0.5</v>
      </c>
      <c r="E96" s="53">
        <f ca="1"/>
        <v>1</v>
      </c>
      <c r="F96" s="53">
        <f ca="1"/>
        <v>25.133748384813632</v>
      </c>
      <c r="G96" s="53">
        <f ca="1"/>
        <v>559.05236689916728</v>
      </c>
      <c r="H96" s="53">
        <f ca="1"/>
        <v>22.243095551834166</v>
      </c>
      <c r="I96" s="53" t="str">
        <f ca="1"/>
        <v>Training</v>
      </c>
      <c r="J96" s="68">
        <f ca="1"/>
        <v>3.1181827245067684E-2</v>
      </c>
      <c r="K96" s="21">
        <f t="shared" ca="1" si="3"/>
        <v>45.157524973387012</v>
      </c>
      <c r="L96" s="21">
        <f t="shared" ca="1" si="2"/>
        <v>236.76494867604333</v>
      </c>
      <c r="M96" s="54"/>
      <c r="N96" s="53"/>
      <c r="O96" s="67">
        <f ca="1"/>
        <v>559.05236689916728</v>
      </c>
      <c r="P96" s="53">
        <f ca="1"/>
        <v>513.89484192578027</v>
      </c>
      <c r="Q96" s="53" t="str">
        <f ca="1"/>
        <v>Training</v>
      </c>
      <c r="R96" s="68">
        <f ca="1"/>
        <v>8.0775125278258209</v>
      </c>
    </row>
    <row r="97" spans="1:18" x14ac:dyDescent="0.3">
      <c r="A97" s="67" t="str">
        <f ca="1"/>
        <v>RT8 (15mm)</v>
      </c>
      <c r="B97" s="53">
        <f ca="1"/>
        <v>170</v>
      </c>
      <c r="C97" s="53" t="str">
        <f ca="1"/>
        <v>Solidification</v>
      </c>
      <c r="D97" s="53">
        <f ca="1"/>
        <v>1</v>
      </c>
      <c r="E97" s="53">
        <f ca="1"/>
        <v>3</v>
      </c>
      <c r="F97" s="53">
        <f ca="1"/>
        <v>21.178307900317577</v>
      </c>
      <c r="G97" s="53">
        <f ca="1"/>
        <v>403.6620200942827</v>
      </c>
      <c r="H97" s="53">
        <f ca="1"/>
        <v>19.060163918394522</v>
      </c>
      <c r="I97" s="53" t="str">
        <f ca="1"/>
        <v>Training</v>
      </c>
      <c r="J97" s="68">
        <f ca="1"/>
        <v>0.83316393378091769</v>
      </c>
      <c r="K97" s="21">
        <f t="shared" ca="1" si="3"/>
        <v>-29.358276920595131</v>
      </c>
      <c r="L97" s="21">
        <f t="shared" ca="1" si="2"/>
        <v>81.374601871158745</v>
      </c>
      <c r="M97" s="54"/>
      <c r="N97" s="53"/>
      <c r="O97" s="67">
        <f ca="1"/>
        <v>403.6620200942827</v>
      </c>
      <c r="P97" s="53">
        <f ca="1"/>
        <v>433.02029701487783</v>
      </c>
      <c r="Q97" s="53" t="str">
        <f ca="1"/>
        <v>Training</v>
      </c>
      <c r="R97" s="68">
        <f ca="1"/>
        <v>7.2729846899487764</v>
      </c>
    </row>
    <row r="98" spans="1:18" x14ac:dyDescent="0.3">
      <c r="A98" s="67" t="str">
        <f ca="1"/>
        <v>RT8 (15mm)</v>
      </c>
      <c r="B98" s="53">
        <f ca="1"/>
        <v>170</v>
      </c>
      <c r="C98" s="53" t="str">
        <f ca="1"/>
        <v>Solidification</v>
      </c>
      <c r="D98" s="53">
        <f ca="1"/>
        <v>0.5</v>
      </c>
      <c r="E98" s="53">
        <f ca="1"/>
        <v>3</v>
      </c>
      <c r="F98" s="53">
        <f ca="1"/>
        <v>16.33920000000073</v>
      </c>
      <c r="G98" s="53">
        <f ca="1"/>
        <v>353.55864367151293</v>
      </c>
      <c r="H98" s="53">
        <f ca="1"/>
        <v>21.63867531283644</v>
      </c>
      <c r="I98" s="53" t="str">
        <f ca="1"/>
        <v>Training</v>
      </c>
      <c r="J98" s="68">
        <f ca="1"/>
        <v>0.56874822910932665</v>
      </c>
      <c r="K98" s="21">
        <f t="shared" ca="1" si="3"/>
        <v>19.480714958439819</v>
      </c>
      <c r="L98" s="21">
        <f t="shared" ca="1" si="2"/>
        <v>31.271225448388975</v>
      </c>
      <c r="M98" s="54"/>
      <c r="N98" s="53"/>
      <c r="O98" s="67">
        <f ca="1"/>
        <v>353.55864367151293</v>
      </c>
      <c r="P98" s="53">
        <f ca="1"/>
        <v>334.07792871307311</v>
      </c>
      <c r="Q98" s="53" t="str">
        <f ca="1"/>
        <v>Training</v>
      </c>
      <c r="R98" s="68">
        <f ca="1"/>
        <v>5.5098963940304957</v>
      </c>
    </row>
    <row r="99" spans="1:18" x14ac:dyDescent="0.3">
      <c r="A99" s="67" t="str">
        <f ca="1"/>
        <v>RT18</v>
      </c>
      <c r="B99" s="53">
        <f ca="1"/>
        <v>230</v>
      </c>
      <c r="C99" s="53" t="str">
        <f ca="1"/>
        <v>Solidification</v>
      </c>
      <c r="D99" s="53">
        <f ca="1"/>
        <v>1</v>
      </c>
      <c r="E99" s="53">
        <f ca="1"/>
        <v>1</v>
      </c>
      <c r="F99" s="53">
        <f ca="1"/>
        <v>26.190323511765527</v>
      </c>
      <c r="G99" s="53">
        <f ca="1"/>
        <v>521.36237802390303</v>
      </c>
      <c r="H99" s="53">
        <f ca="1"/>
        <v>19.906679571548263</v>
      </c>
      <c r="I99" s="53" t="str">
        <f ca="1"/>
        <v>Training</v>
      </c>
      <c r="J99" s="68">
        <f ca="1"/>
        <v>0.24777421579878367</v>
      </c>
      <c r="K99" s="21">
        <f t="shared" ca="1" si="3"/>
        <v>-14.135628679946308</v>
      </c>
      <c r="L99" s="21">
        <f t="shared" ca="1" si="2"/>
        <v>199.07495980077908</v>
      </c>
      <c r="M99" s="54"/>
      <c r="N99" s="53"/>
      <c r="O99" s="67">
        <f ca="1"/>
        <v>521.36237802390303</v>
      </c>
      <c r="P99" s="53">
        <f ca="1"/>
        <v>535.49800670384934</v>
      </c>
      <c r="Q99" s="53" t="str">
        <f ca="1"/>
        <v>Training</v>
      </c>
      <c r="R99" s="68">
        <f ca="1"/>
        <v>2.711286674256006</v>
      </c>
    </row>
    <row r="100" spans="1:18" x14ac:dyDescent="0.3">
      <c r="A100" s="67" t="str">
        <f ca="1"/>
        <v>RT18</v>
      </c>
      <c r="B100" s="53">
        <f ca="1"/>
        <v>230</v>
      </c>
      <c r="C100" s="53" t="str">
        <f ca="1"/>
        <v>Melting</v>
      </c>
      <c r="D100" s="53">
        <f ca="1"/>
        <v>0.5</v>
      </c>
      <c r="E100" s="53">
        <f ca="1"/>
        <v>1</v>
      </c>
      <c r="F100" s="53">
        <f ca="1"/>
        <v>22.067685978047887</v>
      </c>
      <c r="G100" s="53">
        <f ca="1"/>
        <v>530.44121365596561</v>
      </c>
      <c r="H100" s="53">
        <f ca="1"/>
        <v>24.037011138532094</v>
      </c>
      <c r="I100" s="53" t="str">
        <f ca="1"/>
        <v>Training</v>
      </c>
      <c r="J100" s="68">
        <f ca="1"/>
        <v>0.12404231292783408</v>
      </c>
      <c r="K100" s="21">
        <f t="shared" ca="1" si="3"/>
        <v>79.236330734131286</v>
      </c>
      <c r="L100" s="21">
        <f t="shared" ca="1" si="2"/>
        <v>208.15379543284166</v>
      </c>
      <c r="M100" s="54"/>
      <c r="N100" s="53"/>
      <c r="O100" s="67">
        <f ca="1"/>
        <v>530.44121365596561</v>
      </c>
      <c r="P100" s="53">
        <f ca="1"/>
        <v>451.20488292183433</v>
      </c>
      <c r="Q100" s="53" t="str">
        <f ca="1"/>
        <v>Training</v>
      </c>
      <c r="R100" s="68">
        <f ca="1"/>
        <v>14.937815670092805</v>
      </c>
    </row>
    <row r="101" spans="1:18" x14ac:dyDescent="0.3">
      <c r="A101" s="67" t="str">
        <f ca="1"/>
        <v>RT18</v>
      </c>
      <c r="B101" s="53">
        <f ca="1"/>
        <v>230</v>
      </c>
      <c r="C101" s="53" t="str">
        <f ca="1"/>
        <v>Melting</v>
      </c>
      <c r="D101" s="53">
        <f ca="1"/>
        <v>1</v>
      </c>
      <c r="E101" s="53">
        <f ca="1"/>
        <v>1</v>
      </c>
      <c r="F101" s="53">
        <f ca="1"/>
        <v>27.071048094113479</v>
      </c>
      <c r="G101" s="53">
        <f ca="1"/>
        <v>497.44749309176234</v>
      </c>
      <c r="H101" s="53">
        <f ca="1"/>
        <v>18.37562739951435</v>
      </c>
      <c r="I101" s="53" t="str">
        <f ca="1"/>
        <v>Training</v>
      </c>
      <c r="J101" s="68">
        <f ca="1"/>
        <v>0.39358841360901453</v>
      </c>
      <c r="K101" s="21">
        <f t="shared" ca="1" si="3"/>
        <v>-56.058166632888287</v>
      </c>
      <c r="L101" s="21">
        <f t="shared" ca="1" si="2"/>
        <v>175.16007486863839</v>
      </c>
      <c r="M101" s="54"/>
      <c r="N101" s="53"/>
      <c r="O101" s="67">
        <f ca="1"/>
        <v>497.44749309176234</v>
      </c>
      <c r="P101" s="53">
        <f ca="1"/>
        <v>553.50565972465063</v>
      </c>
      <c r="Q101" s="53" t="str">
        <f ca="1"/>
        <v>Training</v>
      </c>
      <c r="R101" s="68">
        <f ca="1"/>
        <v>11.269162557131922</v>
      </c>
    </row>
    <row r="102" spans="1:18" x14ac:dyDescent="0.3">
      <c r="A102" s="67" t="str">
        <f ca="1"/>
        <v>RT18</v>
      </c>
      <c r="B102" s="53">
        <f ca="1"/>
        <v>230</v>
      </c>
      <c r="C102" s="53" t="str">
        <f ca="1"/>
        <v>Solidification</v>
      </c>
      <c r="D102" s="53">
        <f ca="1"/>
        <v>1</v>
      </c>
      <c r="E102" s="53">
        <f ca="1"/>
        <v>2</v>
      </c>
      <c r="F102" s="53">
        <f ca="1"/>
        <v>27.339335607030392</v>
      </c>
      <c r="G102" s="53">
        <f ca="1"/>
        <v>517.33538910520599</v>
      </c>
      <c r="H102" s="53">
        <f ca="1"/>
        <v>18.922749131188528</v>
      </c>
      <c r="I102" s="53" t="str">
        <f ca="1"/>
        <v>Training</v>
      </c>
      <c r="J102" s="68">
        <f ca="1"/>
        <v>0.76779249662802385</v>
      </c>
      <c r="K102" s="21">
        <f t="shared" ca="1" si="3"/>
        <v>-41.655786226993428</v>
      </c>
      <c r="L102" s="21">
        <f t="shared" ca="1" si="2"/>
        <v>195.04797088208204</v>
      </c>
      <c r="M102" s="54"/>
      <c r="N102" s="53"/>
      <c r="O102" s="67">
        <f ca="1"/>
        <v>517.33538910520599</v>
      </c>
      <c r="P102" s="53">
        <f ca="1"/>
        <v>558.99117533219942</v>
      </c>
      <c r="Q102" s="53" t="str">
        <f ca="1"/>
        <v>Training</v>
      </c>
      <c r="R102" s="68">
        <f ca="1"/>
        <v>8.0519885366903168</v>
      </c>
    </row>
    <row r="103" spans="1:18" x14ac:dyDescent="0.3">
      <c r="A103" s="67" t="str">
        <f ca="1"/>
        <v>RT8 (15mm)</v>
      </c>
      <c r="B103" s="53">
        <f ca="1"/>
        <v>170</v>
      </c>
      <c r="C103" s="53" t="str">
        <f ca="1"/>
        <v>Solidification</v>
      </c>
      <c r="D103" s="53">
        <f ca="1"/>
        <v>1</v>
      </c>
      <c r="E103" s="53">
        <f ca="1"/>
        <v>1</v>
      </c>
      <c r="F103" s="53">
        <f ca="1"/>
        <v>20.136299999999675</v>
      </c>
      <c r="G103" s="53">
        <f ca="1"/>
        <v>422.07809643010341</v>
      </c>
      <c r="H103" s="53">
        <f ca="1"/>
        <v>20.961055230112297</v>
      </c>
      <c r="I103" s="53" t="str">
        <f ca="1"/>
        <v>Training</v>
      </c>
      <c r="J103" s="68">
        <f ca="1"/>
        <v>0.39968920223204052</v>
      </c>
      <c r="K103" s="21">
        <f t="shared" ca="1" si="3"/>
        <v>10.363116752723613</v>
      </c>
      <c r="L103" s="21">
        <f t="shared" ca="1" si="2"/>
        <v>99.790678206979464</v>
      </c>
      <c r="M103" s="54"/>
      <c r="N103" s="53"/>
      <c r="O103" s="67">
        <f ca="1"/>
        <v>422.07809643010341</v>
      </c>
      <c r="P103" s="53">
        <f ca="1"/>
        <v>411.7149796773798</v>
      </c>
      <c r="Q103" s="53" t="str">
        <f ca="1"/>
        <v>Training</v>
      </c>
      <c r="R103" s="68">
        <f ca="1"/>
        <v>2.455260493348002</v>
      </c>
    </row>
    <row r="104" spans="1:18" x14ac:dyDescent="0.3">
      <c r="A104" s="67" t="str">
        <f ca="1"/>
        <v>RT24</v>
      </c>
      <c r="B104" s="53">
        <f ca="1"/>
        <v>170</v>
      </c>
      <c r="C104" s="53" t="str">
        <f ca="1"/>
        <v>Solidification</v>
      </c>
      <c r="D104" s="53">
        <f ca="1"/>
        <v>1</v>
      </c>
      <c r="E104" s="53">
        <f ca="1"/>
        <v>1</v>
      </c>
      <c r="F104" s="53">
        <f ca="1"/>
        <v>19.086000000000098</v>
      </c>
      <c r="G104" s="53">
        <f ca="1"/>
        <v>387.39479999999998</v>
      </c>
      <c r="H104" s="53">
        <f ca="1"/>
        <v>20.297327884313002</v>
      </c>
      <c r="I104" s="53" t="str">
        <f ca="1"/>
        <v>Training</v>
      </c>
      <c r="J104" s="68">
        <f ca="1"/>
        <v>0.31442334606410061</v>
      </c>
      <c r="K104" s="21">
        <f t="shared" ca="1" si="3"/>
        <v>-2.8453186972104731</v>
      </c>
      <c r="L104" s="21">
        <f t="shared" ca="1" si="2"/>
        <v>65.107381776876025</v>
      </c>
      <c r="M104" s="54"/>
      <c r="N104" s="53"/>
      <c r="O104" s="67">
        <f ca="1"/>
        <v>387.39479999999998</v>
      </c>
      <c r="P104" s="53">
        <f ca="1"/>
        <v>390.24011869721045</v>
      </c>
      <c r="Q104" s="53" t="str">
        <f ca="1"/>
        <v>Training</v>
      </c>
      <c r="R104" s="68">
        <f ca="1"/>
        <v>0.73447519099649072</v>
      </c>
    </row>
    <row r="105" spans="1:18" x14ac:dyDescent="0.3">
      <c r="A105" s="67" t="str">
        <f ca="1"/>
        <v>RT18</v>
      </c>
      <c r="B105" s="53">
        <f ca="1"/>
        <v>230</v>
      </c>
      <c r="C105" s="53" t="str">
        <f ca="1"/>
        <v>Melting</v>
      </c>
      <c r="D105" s="53">
        <f ca="1"/>
        <v>0.5</v>
      </c>
      <c r="E105" s="53">
        <f ca="1"/>
        <v>3</v>
      </c>
      <c r="F105" s="53">
        <f ca="1"/>
        <v>22.422000000000001</v>
      </c>
      <c r="G105" s="53">
        <f ca="1"/>
        <v>526.93979999999988</v>
      </c>
      <c r="H105" s="53">
        <f ca="1"/>
        <v>23.50101686</v>
      </c>
      <c r="I105" s="53" t="str">
        <f ca="1"/>
        <v>Training</v>
      </c>
      <c r="J105" s="68">
        <f ca="1"/>
        <v>0.38928488291838781</v>
      </c>
      <c r="K105" s="21">
        <f t="shared" ca="1" si="3"/>
        <v>68.490468478004288</v>
      </c>
      <c r="L105" s="21">
        <f t="shared" ca="1" si="2"/>
        <v>204.65238177687593</v>
      </c>
      <c r="M105" s="54"/>
      <c r="N105" s="53"/>
      <c r="O105" s="67">
        <f ca="1"/>
        <v>526.93979999999988</v>
      </c>
      <c r="P105" s="53">
        <f ca="1"/>
        <v>458.44933152199559</v>
      </c>
      <c r="Q105" s="53" t="str">
        <f ca="1"/>
        <v>Training</v>
      </c>
      <c r="R105" s="68">
        <f ca="1"/>
        <v>12.997778584575373</v>
      </c>
    </row>
    <row r="106" spans="1:18" x14ac:dyDescent="0.3">
      <c r="A106" s="67" t="str">
        <f ca="1"/>
        <v>RT11</v>
      </c>
      <c r="B106" s="53">
        <f ca="1"/>
        <v>170</v>
      </c>
      <c r="C106" s="53" t="str">
        <f ca="1"/>
        <v>Melting</v>
      </c>
      <c r="D106" s="53">
        <f ca="1"/>
        <v>0.5</v>
      </c>
      <c r="E106" s="53">
        <f ca="1"/>
        <v>3</v>
      </c>
      <c r="F106" s="53">
        <f ca="1"/>
        <v>13.394999999995163</v>
      </c>
      <c r="G106" s="53">
        <f ca="1"/>
        <v>240.30809999999769</v>
      </c>
      <c r="H106" s="53">
        <f ca="1"/>
        <v>17.940134378505746</v>
      </c>
      <c r="I106" s="53" t="str">
        <f ca="1"/>
        <v>Training</v>
      </c>
      <c r="J106" s="68">
        <f ca="1"/>
        <v>0.449158662759919</v>
      </c>
      <c r="K106" s="21">
        <f t="shared" ca="1" si="3"/>
        <v>-33.571518041876914</v>
      </c>
      <c r="L106" s="21">
        <f t="shared" ca="1" si="2"/>
        <v>-81.979318223126256</v>
      </c>
      <c r="M106" s="54"/>
      <c r="N106" s="53"/>
      <c r="O106" s="67">
        <f ca="1"/>
        <v>240.30809999999769</v>
      </c>
      <c r="P106" s="53">
        <f ca="1"/>
        <v>273.87961804187461</v>
      </c>
      <c r="Q106" s="53" t="str">
        <f ca="1"/>
        <v>Training</v>
      </c>
      <c r="R106" s="68">
        <f ca="1"/>
        <v>13.970198275412788</v>
      </c>
    </row>
    <row r="107" spans="1:18" x14ac:dyDescent="0.3">
      <c r="A107" s="67" t="str">
        <f ca="1"/>
        <v>RT18</v>
      </c>
      <c r="B107" s="53">
        <f ca="1"/>
        <v>230</v>
      </c>
      <c r="C107" s="53" t="str">
        <f ca="1"/>
        <v>Melting</v>
      </c>
      <c r="D107" s="53">
        <f ca="1"/>
        <v>1</v>
      </c>
      <c r="E107" s="53">
        <f ca="1"/>
        <v>3</v>
      </c>
      <c r="F107" s="53">
        <f ca="1"/>
        <v>26.999051764701608</v>
      </c>
      <c r="G107" s="53">
        <f ca="1"/>
        <v>498.93304243764453</v>
      </c>
      <c r="H107" s="53">
        <f ca="1"/>
        <v>18.479650573874839</v>
      </c>
      <c r="I107" s="53" t="str">
        <f ca="1"/>
        <v>Training</v>
      </c>
      <c r="J107" s="68">
        <f ca="1"/>
        <v>0.11263562493192414</v>
      </c>
      <c r="K107" s="21">
        <f t="shared" ca="1" si="3"/>
        <v>-53.10055105335573</v>
      </c>
      <c r="L107" s="21">
        <f t="shared" ca="1" si="2"/>
        <v>176.64562421452058</v>
      </c>
      <c r="M107" s="54"/>
      <c r="N107" s="53"/>
      <c r="O107" s="67">
        <f ca="1"/>
        <v>498.93304243764453</v>
      </c>
      <c r="P107" s="53">
        <f ca="1"/>
        <v>552.03359349100026</v>
      </c>
      <c r="Q107" s="53" t="str">
        <f ca="1"/>
        <v>Training</v>
      </c>
      <c r="R107" s="68">
        <f ca="1"/>
        <v>10.642821087559481</v>
      </c>
    </row>
    <row r="108" spans="1:18" x14ac:dyDescent="0.3">
      <c r="A108" s="67" t="str">
        <f ca="1"/>
        <v>RT8 (15mm)</v>
      </c>
      <c r="B108" s="53">
        <f ca="1"/>
        <v>170</v>
      </c>
      <c r="C108" s="53" t="str">
        <f ca="1"/>
        <v>Melting</v>
      </c>
      <c r="D108" s="53">
        <f ca="1"/>
        <v>0.5</v>
      </c>
      <c r="E108" s="53">
        <f ca="1"/>
        <v>1</v>
      </c>
      <c r="F108" s="53">
        <f ca="1"/>
        <v>16.090530088193475</v>
      </c>
      <c r="G108" s="53">
        <f ca="1"/>
        <v>334.92233180419038</v>
      </c>
      <c r="H108" s="53">
        <f ca="1"/>
        <v>20.814872472718701</v>
      </c>
      <c r="I108" s="53" t="str">
        <f ca="1"/>
        <v>Training</v>
      </c>
      <c r="J108" s="68">
        <f ca="1"/>
        <v>0.29018794783507351</v>
      </c>
      <c r="K108" s="21">
        <f t="shared" ca="1" si="3"/>
        <v>5.9288092474668588</v>
      </c>
      <c r="L108" s="21">
        <f t="shared" ca="1" si="2"/>
        <v>12.634913581066428</v>
      </c>
      <c r="M108" s="54"/>
      <c r="N108" s="53"/>
      <c r="O108" s="67">
        <f ca="1"/>
        <v>334.92233180419038</v>
      </c>
      <c r="P108" s="53">
        <f ca="1"/>
        <v>328.99352255672352</v>
      </c>
      <c r="Q108" s="53" t="str">
        <f ca="1"/>
        <v>Training</v>
      </c>
      <c r="R108" s="68">
        <f ca="1"/>
        <v>1.770204218849488</v>
      </c>
    </row>
    <row r="109" spans="1:18" x14ac:dyDescent="0.3">
      <c r="A109" s="67" t="str">
        <f ca="1"/>
        <v>RT8 (15mm)</v>
      </c>
      <c r="B109" s="53">
        <f ca="1"/>
        <v>170</v>
      </c>
      <c r="C109" s="53" t="str">
        <f ca="1"/>
        <v>Melting</v>
      </c>
      <c r="D109" s="53">
        <f ca="1"/>
        <v>1</v>
      </c>
      <c r="E109" s="53">
        <f ca="1"/>
        <v>2</v>
      </c>
      <c r="F109" s="53">
        <f ca="1"/>
        <v>17.935800000001304</v>
      </c>
      <c r="G109" s="53">
        <f ca="1"/>
        <v>365.21590909090946</v>
      </c>
      <c r="H109" s="53">
        <f ca="1"/>
        <v>20.36239861566715</v>
      </c>
      <c r="I109" s="53" t="str">
        <f ca="1"/>
        <v>Training</v>
      </c>
      <c r="J109" s="68">
        <f ca="1"/>
        <v>0.13040504245892282</v>
      </c>
      <c r="K109" s="21">
        <f t="shared" ref="K109:K125" ca="1" si="4">G109-$C$11*F109</f>
        <v>-1.5067525946139426</v>
      </c>
      <c r="L109" s="21">
        <f t="shared" ref="L109:L125" ca="1" si="5">G109-AVERAGE($G$84:$G$138)</f>
        <v>42.928490867785513</v>
      </c>
      <c r="M109" s="54"/>
      <c r="N109" s="53"/>
      <c r="O109" s="67">
        <f ca="1"/>
        <v>365.21590909090946</v>
      </c>
      <c r="P109" s="53">
        <f ca="1"/>
        <v>366.72266168552341</v>
      </c>
      <c r="Q109" s="53" t="str">
        <f ca="1"/>
        <v>Training</v>
      </c>
      <c r="R109" s="68">
        <f ca="1"/>
        <v>0.41256488480048176</v>
      </c>
    </row>
    <row r="110" spans="1:18" x14ac:dyDescent="0.3">
      <c r="A110" s="67" t="str">
        <f ca="1"/>
        <v>RT8 (15mm)</v>
      </c>
      <c r="B110" s="53">
        <f ca="1"/>
        <v>170</v>
      </c>
      <c r="C110" s="53" t="str">
        <f ca="1"/>
        <v>Melting</v>
      </c>
      <c r="D110" s="53">
        <f ca="1"/>
        <v>0.5</v>
      </c>
      <c r="E110" s="53">
        <f ca="1"/>
        <v>3</v>
      </c>
      <c r="F110" s="53">
        <f ca="1"/>
        <v>15.294906027162751</v>
      </c>
      <c r="G110" s="53">
        <f ca="1"/>
        <v>318.35937208508204</v>
      </c>
      <c r="H110" s="53">
        <f ca="1"/>
        <v>20.814732141518011</v>
      </c>
      <c r="I110" s="53" t="str">
        <f ca="1"/>
        <v>Training</v>
      </c>
      <c r="J110" s="68">
        <f ca="1"/>
        <v>0.27469322510357974</v>
      </c>
      <c r="K110" s="21">
        <f t="shared" ca="1" si="4"/>
        <v>5.6335026780485578</v>
      </c>
      <c r="L110" s="21">
        <f t="shared" ca="1" si="5"/>
        <v>-3.9280461380419069</v>
      </c>
      <c r="M110" s="54"/>
      <c r="N110" s="53"/>
      <c r="O110" s="67">
        <f ca="1"/>
        <v>318.35937208508204</v>
      </c>
      <c r="P110" s="53">
        <f ca="1"/>
        <v>312.72586940703349</v>
      </c>
      <c r="Q110" s="53" t="str">
        <f ca="1"/>
        <v>Training</v>
      </c>
      <c r="R110" s="68">
        <f ca="1"/>
        <v>1.7695419616994958</v>
      </c>
    </row>
    <row r="111" spans="1:18" x14ac:dyDescent="0.3">
      <c r="A111" s="67" t="str">
        <f ca="1"/>
        <v>RT18</v>
      </c>
      <c r="B111" s="53">
        <f ca="1"/>
        <v>230</v>
      </c>
      <c r="C111" s="53" t="str">
        <f ca="1"/>
        <v>Melting</v>
      </c>
      <c r="D111" s="53">
        <f ca="1"/>
        <v>1</v>
      </c>
      <c r="E111" s="53">
        <f ca="1"/>
        <v>2</v>
      </c>
      <c r="F111" s="53">
        <f ca="1"/>
        <v>22.284430163528512</v>
      </c>
      <c r="G111" s="53">
        <f ca="1"/>
        <v>438.58518732334858</v>
      </c>
      <c r="H111" s="53">
        <f ca="1"/>
        <v>19.681238609419442</v>
      </c>
      <c r="I111" s="53" t="str">
        <f ca="1"/>
        <v>Training</v>
      </c>
      <c r="J111" s="68">
        <f ca="1"/>
        <v>0.8933839698552074</v>
      </c>
      <c r="K111" s="21">
        <f t="shared" ca="1" si="4"/>
        <v>-17.051335369463857</v>
      </c>
      <c r="L111" s="21">
        <f t="shared" ca="1" si="5"/>
        <v>116.29776910022463</v>
      </c>
      <c r="M111" s="54"/>
      <c r="N111" s="53"/>
      <c r="O111" s="67">
        <f ca="1"/>
        <v>438.58518732334858</v>
      </c>
      <c r="P111" s="53">
        <f ca="1"/>
        <v>455.63652269281243</v>
      </c>
      <c r="Q111" s="53" t="str">
        <f ca="1"/>
        <v>Training</v>
      </c>
      <c r="R111" s="68">
        <f ca="1"/>
        <v>3.8878046642493413</v>
      </c>
    </row>
    <row r="112" spans="1:18" x14ac:dyDescent="0.3">
      <c r="A112" s="67" t="str">
        <f ca="1"/>
        <v>RT24</v>
      </c>
      <c r="B112" s="53">
        <f ca="1"/>
        <v>170</v>
      </c>
      <c r="C112" s="53" t="str">
        <f ca="1"/>
        <v>Melting</v>
      </c>
      <c r="D112" s="53">
        <f ca="1"/>
        <v>1</v>
      </c>
      <c r="E112" s="53">
        <f ca="1"/>
        <v>1</v>
      </c>
      <c r="F112" s="53">
        <f ca="1"/>
        <v>13.042056671598727</v>
      </c>
      <c r="G112" s="53">
        <f ca="1"/>
        <v>266.10625346834951</v>
      </c>
      <c r="H112" s="53">
        <f ca="1"/>
        <v>20.403703201799502</v>
      </c>
      <c r="I112" s="53" t="str">
        <f ca="1"/>
        <v>Training</v>
      </c>
      <c r="J112" s="68">
        <f ca="1"/>
        <v>0.14470289947857684</v>
      </c>
      <c r="K112" s="21">
        <f t="shared" ca="1" si="4"/>
        <v>-0.55694173129455748</v>
      </c>
      <c r="L112" s="21">
        <f t="shared" ca="1" si="5"/>
        <v>-56.181164754774443</v>
      </c>
      <c r="M112" s="54"/>
      <c r="N112" s="53"/>
      <c r="O112" s="67">
        <f ca="1"/>
        <v>266.10625346834951</v>
      </c>
      <c r="P112" s="53">
        <f ca="1"/>
        <v>266.66319519964406</v>
      </c>
      <c r="Q112" s="53" t="str">
        <f ca="1"/>
        <v>Training</v>
      </c>
      <c r="R112" s="68">
        <f ca="1"/>
        <v>0.2092929888101257</v>
      </c>
    </row>
    <row r="113" spans="1:18" x14ac:dyDescent="0.3">
      <c r="A113" s="67" t="str">
        <f ca="1"/>
        <v>RT8</v>
      </c>
      <c r="B113" s="53">
        <f ca="1"/>
        <v>170</v>
      </c>
      <c r="C113" s="53" t="str">
        <f ca="1"/>
        <v>Melting</v>
      </c>
      <c r="D113" s="53">
        <f ca="1"/>
        <v>0.5</v>
      </c>
      <c r="E113" s="53">
        <f ca="1"/>
        <v>2</v>
      </c>
      <c r="F113" s="53">
        <f ca="1"/>
        <v>6.9327748784655023</v>
      </c>
      <c r="G113" s="53">
        <f ca="1"/>
        <v>136.08228581679037</v>
      </c>
      <c r="H113" s="53">
        <f ca="1"/>
        <v>19.62883379344791</v>
      </c>
      <c r="I113" s="53" t="str">
        <f ca="1"/>
        <v>Training</v>
      </c>
      <c r="J113" s="68">
        <f ca="1"/>
        <v>0.38188232427585944</v>
      </c>
      <c r="K113" s="21">
        <f t="shared" ca="1" si="4"/>
        <v>-5.6680490607849379</v>
      </c>
      <c r="L113" s="21">
        <f t="shared" ca="1" si="5"/>
        <v>-186.20513240633358</v>
      </c>
      <c r="M113" s="54"/>
      <c r="N113" s="53"/>
      <c r="O113" s="67">
        <f ca="1"/>
        <v>136.08228581679037</v>
      </c>
      <c r="P113" s="53">
        <f ca="1"/>
        <v>141.75033487757531</v>
      </c>
      <c r="Q113" s="53" t="str">
        <f ca="1"/>
        <v>Training</v>
      </c>
      <c r="R113" s="68">
        <f ca="1"/>
        <v>4.1651630311500769</v>
      </c>
    </row>
    <row r="114" spans="1:18" x14ac:dyDescent="0.3">
      <c r="A114" s="67" t="str">
        <f ca="1"/>
        <v>RT24</v>
      </c>
      <c r="B114" s="53">
        <f ca="1"/>
        <v>170</v>
      </c>
      <c r="C114" s="53" t="str">
        <f ca="1"/>
        <v>Solidification</v>
      </c>
      <c r="D114" s="53">
        <f ca="1"/>
        <v>1</v>
      </c>
      <c r="E114" s="53">
        <f ca="1"/>
        <v>2</v>
      </c>
      <c r="F114" s="53">
        <f ca="1"/>
        <v>17.790648849835058</v>
      </c>
      <c r="G114" s="53">
        <f ca="1"/>
        <v>369.31674307917132</v>
      </c>
      <c r="H114" s="53">
        <f ca="1"/>
        <v>20.759037300800603</v>
      </c>
      <c r="I114" s="53" t="str">
        <f ca="1"/>
        <v>Training</v>
      </c>
      <c r="J114" s="68">
        <f ca="1"/>
        <v>0.77787418814128095</v>
      </c>
      <c r="K114" s="21">
        <f t="shared" ca="1" si="4"/>
        <v>5.5619008461215458</v>
      </c>
      <c r="L114" s="21">
        <f t="shared" ca="1" si="5"/>
        <v>47.029324856047367</v>
      </c>
      <c r="M114" s="54"/>
      <c r="N114" s="53"/>
      <c r="O114" s="67">
        <f ca="1"/>
        <v>369.31674307917132</v>
      </c>
      <c r="P114" s="53">
        <f ca="1"/>
        <v>363.75484223304977</v>
      </c>
      <c r="Q114" s="53" t="str">
        <f ca="1"/>
        <v>Training</v>
      </c>
      <c r="R114" s="68">
        <f ca="1"/>
        <v>1.5059974805770526</v>
      </c>
    </row>
    <row r="115" spans="1:18" x14ac:dyDescent="0.3">
      <c r="A115" s="67" t="str">
        <f ca="1"/>
        <v>RT18</v>
      </c>
      <c r="B115" s="53">
        <f ca="1"/>
        <v>230</v>
      </c>
      <c r="C115" s="53" t="str">
        <f ca="1"/>
        <v>Solidification</v>
      </c>
      <c r="D115" s="53">
        <f ca="1"/>
        <v>1</v>
      </c>
      <c r="E115" s="53">
        <f ca="1"/>
        <v>3</v>
      </c>
      <c r="F115" s="53">
        <f ca="1"/>
        <v>25.152330906320181</v>
      </c>
      <c r="G115" s="53">
        <f ca="1"/>
        <v>531.35713106848095</v>
      </c>
      <c r="H115" s="53">
        <f ca="1"/>
        <v>21.125562201273503</v>
      </c>
      <c r="I115" s="53" t="str">
        <f ca="1"/>
        <v>Training</v>
      </c>
      <c r="J115" s="68">
        <f ca="1"/>
        <v>0.8005760480152716</v>
      </c>
      <c r="K115" s="21">
        <f t="shared" ca="1" si="4"/>
        <v>17.082343350056362</v>
      </c>
      <c r="L115" s="21">
        <f t="shared" ca="1" si="5"/>
        <v>209.069712845357</v>
      </c>
      <c r="M115" s="54"/>
      <c r="N115" s="53"/>
      <c r="O115" s="67">
        <f ca="1"/>
        <v>531.35713106848095</v>
      </c>
      <c r="P115" s="53">
        <f ca="1"/>
        <v>514.27478771842459</v>
      </c>
      <c r="Q115" s="53" t="str">
        <f ca="1"/>
        <v>Training</v>
      </c>
      <c r="R115" s="68">
        <f ca="1"/>
        <v>3.2148516226189123</v>
      </c>
    </row>
    <row r="116" spans="1:18" x14ac:dyDescent="0.3">
      <c r="A116" s="67" t="str">
        <f ca="1"/>
        <v>RT11</v>
      </c>
      <c r="B116" s="53">
        <f ca="1"/>
        <v>170</v>
      </c>
      <c r="C116" s="53" t="str">
        <f ca="1"/>
        <v>Melting</v>
      </c>
      <c r="D116" s="53">
        <f ca="1"/>
        <v>0.5</v>
      </c>
      <c r="E116" s="53">
        <f ca="1"/>
        <v>2</v>
      </c>
      <c r="F116" s="53">
        <f ca="1"/>
        <v>12.778499999994184</v>
      </c>
      <c r="G116" s="53">
        <f ca="1"/>
        <v>247.45169999999919</v>
      </c>
      <c r="H116" s="53">
        <f ca="1"/>
        <v>19.364690691404459</v>
      </c>
      <c r="I116" s="53" t="str">
        <f ca="1"/>
        <v>Training</v>
      </c>
      <c r="J116" s="68">
        <f ca="1"/>
        <v>0.9154997019790948</v>
      </c>
      <c r="K116" s="21">
        <f t="shared" ca="1" si="4"/>
        <v>-13.822708297706328</v>
      </c>
      <c r="L116" s="21">
        <f t="shared" ca="1" si="5"/>
        <v>-74.835718223124758</v>
      </c>
      <c r="M116" s="54"/>
      <c r="N116" s="53"/>
      <c r="O116" s="67">
        <f ca="1"/>
        <v>247.45169999999919</v>
      </c>
      <c r="P116" s="53">
        <f ca="1"/>
        <v>261.27440829770552</v>
      </c>
      <c r="Q116" s="53" t="str">
        <f ca="1"/>
        <v>Training</v>
      </c>
      <c r="R116" s="68">
        <f ca="1"/>
        <v>5.5860227663444517</v>
      </c>
    </row>
    <row r="117" spans="1:18" x14ac:dyDescent="0.3">
      <c r="A117" s="67" t="str">
        <f ca="1"/>
        <v>RT8</v>
      </c>
      <c r="B117" s="53">
        <f ca="1"/>
        <v>170</v>
      </c>
      <c r="C117" s="53" t="str">
        <f ca="1"/>
        <v>Melting</v>
      </c>
      <c r="D117" s="53">
        <f ca="1"/>
        <v>0.5</v>
      </c>
      <c r="E117" s="53">
        <f ca="1"/>
        <v>1</v>
      </c>
      <c r="F117" s="53">
        <f ca="1"/>
        <v>8.0972999999946342</v>
      </c>
      <c r="G117" s="53">
        <f ca="1"/>
        <v>166.90619999999905</v>
      </c>
      <c r="H117" s="53">
        <f ca="1"/>
        <v>20.612574561904541</v>
      </c>
      <c r="I117" s="53" t="str">
        <f ca="1"/>
        <v>Training</v>
      </c>
      <c r="J117" s="68">
        <f ca="1"/>
        <v>0.38569693274659489</v>
      </c>
      <c r="K117" s="21">
        <f t="shared" ca="1" si="4"/>
        <v>1.3455108495845138</v>
      </c>
      <c r="L117" s="21">
        <f t="shared" ca="1" si="5"/>
        <v>-155.3812182231249</v>
      </c>
      <c r="M117" s="54"/>
      <c r="N117" s="53"/>
      <c r="O117" s="67">
        <f ca="1"/>
        <v>166.90619999999905</v>
      </c>
      <c r="P117" s="53">
        <f ca="1"/>
        <v>165.56068915041453</v>
      </c>
      <c r="Q117" s="53" t="str">
        <f ca="1"/>
        <v>Training</v>
      </c>
      <c r="R117" s="68">
        <f ca="1"/>
        <v>0.80614791396875707</v>
      </c>
    </row>
    <row r="118" spans="1:18" x14ac:dyDescent="0.3">
      <c r="A118" s="67" t="str">
        <f ca="1"/>
        <v>RT24</v>
      </c>
      <c r="B118" s="53">
        <f ca="1"/>
        <v>170</v>
      </c>
      <c r="C118" s="53" t="str">
        <f ca="1"/>
        <v>Solidification</v>
      </c>
      <c r="D118" s="53">
        <f ca="1"/>
        <v>0.5</v>
      </c>
      <c r="E118" s="53">
        <f ca="1"/>
        <v>1</v>
      </c>
      <c r="F118" s="53">
        <f ca="1"/>
        <v>14.747651848983457</v>
      </c>
      <c r="G118" s="53">
        <f ca="1"/>
        <v>292.5854325259931</v>
      </c>
      <c r="H118" s="53">
        <f ca="1"/>
        <v>19.839458886206398</v>
      </c>
      <c r="I118" s="53" t="str">
        <f ca="1"/>
        <v>Training</v>
      </c>
      <c r="J118" s="68">
        <f ca="1"/>
        <v>0.69358007013147671</v>
      </c>
      <c r="K118" s="21">
        <f t="shared" ca="1" si="4"/>
        <v>-8.9510553736406564</v>
      </c>
      <c r="L118" s="21">
        <f t="shared" ca="1" si="5"/>
        <v>-29.701985697130851</v>
      </c>
      <c r="M118" s="54"/>
      <c r="N118" s="53"/>
      <c r="O118" s="67">
        <f ca="1"/>
        <v>292.5854325259931</v>
      </c>
      <c r="P118" s="53">
        <f ca="1"/>
        <v>301.53648789963376</v>
      </c>
      <c r="Q118" s="53" t="str">
        <f ca="1"/>
        <v>Training</v>
      </c>
      <c r="R118" s="68">
        <f ca="1"/>
        <v>3.0592963212019963</v>
      </c>
    </row>
    <row r="119" spans="1:18" x14ac:dyDescent="0.3">
      <c r="A119" s="67" t="str">
        <f ca="1"/>
        <v>RT24</v>
      </c>
      <c r="B119" s="53">
        <f ca="1"/>
        <v>170</v>
      </c>
      <c r="C119" s="53" t="str">
        <f ca="1"/>
        <v>Melting</v>
      </c>
      <c r="D119" s="53">
        <f ca="1"/>
        <v>1</v>
      </c>
      <c r="E119" s="53">
        <f ca="1"/>
        <v>2</v>
      </c>
      <c r="F119" s="53">
        <f ca="1"/>
        <v>11.275199999993378</v>
      </c>
      <c r="G119" s="53">
        <f ca="1"/>
        <v>242.68199999999436</v>
      </c>
      <c r="H119" s="53">
        <f ca="1"/>
        <v>21.523520647096007</v>
      </c>
      <c r="I119" s="53" t="str">
        <f ca="1"/>
        <v>Training</v>
      </c>
      <c r="J119" s="68">
        <f ca="1"/>
        <v>0.77110466024348179</v>
      </c>
      <c r="K119" s="21">
        <f t="shared" ca="1" si="4"/>
        <v>12.144674927575835</v>
      </c>
      <c r="L119" s="21">
        <f t="shared" ca="1" si="5"/>
        <v>-79.60541822312959</v>
      </c>
      <c r="M119" s="54"/>
      <c r="N119" s="53"/>
      <c r="O119" s="67">
        <f ca="1"/>
        <v>242.68199999999436</v>
      </c>
      <c r="P119" s="53">
        <f ca="1"/>
        <v>230.53732507241853</v>
      </c>
      <c r="Q119" s="53" t="str">
        <f ca="1"/>
        <v>Training</v>
      </c>
      <c r="R119" s="68">
        <f ca="1"/>
        <v>5.0043575244872374</v>
      </c>
    </row>
    <row r="120" spans="1:18" x14ac:dyDescent="0.3">
      <c r="A120" s="67" t="str">
        <f ca="1"/>
        <v>RT8 (15mm)</v>
      </c>
      <c r="B120" s="53">
        <f ca="1"/>
        <v>170</v>
      </c>
      <c r="C120" s="53" t="str">
        <f ca="1"/>
        <v>Solidification</v>
      </c>
      <c r="D120" s="53">
        <f ca="1"/>
        <v>0.5</v>
      </c>
      <c r="E120" s="53">
        <f ca="1"/>
        <v>2</v>
      </c>
      <c r="F120" s="53">
        <f ca="1"/>
        <v>18.948021681361006</v>
      </c>
      <c r="G120" s="53">
        <f ca="1"/>
        <v>412.3936411407775</v>
      </c>
      <c r="H120" s="53">
        <f ca="1"/>
        <v>21.764469561824775</v>
      </c>
      <c r="I120" s="53" t="str">
        <f ca="1"/>
        <v>Training</v>
      </c>
      <c r="J120" s="68">
        <f ca="1"/>
        <v>0.6274955692270402</v>
      </c>
      <c r="K120" s="21">
        <f t="shared" ca="1" si="4"/>
        <v>24.974683265287752</v>
      </c>
      <c r="L120" s="21">
        <f t="shared" ca="1" si="5"/>
        <v>90.106222917653554</v>
      </c>
      <c r="M120" s="54"/>
      <c r="N120" s="53"/>
      <c r="O120" s="67">
        <f ca="1"/>
        <v>412.3936411407775</v>
      </c>
      <c r="P120" s="53">
        <f ca="1"/>
        <v>387.41895787548975</v>
      </c>
      <c r="Q120" s="53" t="str">
        <f ca="1"/>
        <v>Training</v>
      </c>
      <c r="R120" s="68">
        <f ca="1"/>
        <v>6.0560301551211904</v>
      </c>
    </row>
    <row r="121" spans="1:18" x14ac:dyDescent="0.3">
      <c r="A121" s="67" t="str">
        <f ca="1"/>
        <v>RT8</v>
      </c>
      <c r="B121" s="53">
        <f ca="1"/>
        <v>170</v>
      </c>
      <c r="C121" s="53" t="str">
        <f ca="1"/>
        <v>Solidification</v>
      </c>
      <c r="D121" s="53">
        <f ca="1"/>
        <v>1</v>
      </c>
      <c r="E121" s="53">
        <f ca="1"/>
        <v>3</v>
      </c>
      <c r="F121" s="53">
        <f ca="1"/>
        <v>11.346010588618963</v>
      </c>
      <c r="G121" s="53">
        <f ca="1"/>
        <v>205.62869365733505</v>
      </c>
      <c r="H121" s="53">
        <f ca="1"/>
        <v>18.123435726703669</v>
      </c>
      <c r="I121" s="53" t="str">
        <f ca="1"/>
        <v>Training</v>
      </c>
      <c r="J121" s="68">
        <f ca="1"/>
        <v>0.18689906228240238</v>
      </c>
      <c r="K121" s="21">
        <f t="shared" ca="1" si="4"/>
        <v>-26.356453510350576</v>
      </c>
      <c r="L121" s="21">
        <f t="shared" ca="1" si="5"/>
        <v>-116.6587245657889</v>
      </c>
      <c r="M121" s="54"/>
      <c r="N121" s="53"/>
      <c r="O121" s="67">
        <f ca="1"/>
        <v>205.62869365733505</v>
      </c>
      <c r="P121" s="53">
        <f ca="1"/>
        <v>231.98514716768562</v>
      </c>
      <c r="Q121" s="53" t="str">
        <f ca="1"/>
        <v>Training</v>
      </c>
      <c r="R121" s="68">
        <f ca="1"/>
        <v>12.817497909251735</v>
      </c>
    </row>
    <row r="122" spans="1:18" x14ac:dyDescent="0.3">
      <c r="A122" s="67" t="str">
        <f ca="1"/>
        <v>RT8</v>
      </c>
      <c r="B122" s="53">
        <f ca="1"/>
        <v>170</v>
      </c>
      <c r="C122" s="53" t="str">
        <f ca="1"/>
        <v>Solidification</v>
      </c>
      <c r="D122" s="53">
        <f ca="1"/>
        <v>1</v>
      </c>
      <c r="E122" s="53">
        <f ca="1"/>
        <v>2</v>
      </c>
      <c r="F122" s="53">
        <f ca="1"/>
        <v>9.2355319538814236</v>
      </c>
      <c r="G122" s="53">
        <f ca="1"/>
        <v>177.19746032724149</v>
      </c>
      <c r="H122" s="53">
        <f ca="1"/>
        <v>19.186492040966908</v>
      </c>
      <c r="I122" s="53" t="str">
        <f ca="1"/>
        <v>Training</v>
      </c>
      <c r="J122" s="68">
        <f ca="1"/>
        <v>0.3085315683040315</v>
      </c>
      <c r="K122" s="21">
        <f t="shared" ca="1" si="4"/>
        <v>-11.635982296385663</v>
      </c>
      <c r="L122" s="21">
        <f t="shared" ca="1" si="5"/>
        <v>-145.08995789588246</v>
      </c>
      <c r="M122" s="54"/>
      <c r="N122" s="53"/>
      <c r="O122" s="67">
        <f ca="1"/>
        <v>177.19746032724149</v>
      </c>
      <c r="P122" s="53">
        <f ca="1"/>
        <v>188.83344262362715</v>
      </c>
      <c r="Q122" s="53" t="str">
        <f ca="1"/>
        <v>Training</v>
      </c>
      <c r="R122" s="68">
        <f ca="1"/>
        <v>6.5666755465325384</v>
      </c>
    </row>
    <row r="123" spans="1:18" x14ac:dyDescent="0.3">
      <c r="A123" s="67" t="str">
        <f ca="1"/>
        <v>RT8</v>
      </c>
      <c r="B123" s="53">
        <f ca="1"/>
        <v>170</v>
      </c>
      <c r="C123" s="53" t="str">
        <f ca="1"/>
        <v>Melting</v>
      </c>
      <c r="D123" s="53">
        <f ca="1"/>
        <v>0.5</v>
      </c>
      <c r="E123" s="53">
        <f ca="1"/>
        <v>3</v>
      </c>
      <c r="F123" s="53">
        <f ca="1"/>
        <v>6.6891725519443366</v>
      </c>
      <c r="G123" s="53">
        <f ca="1"/>
        <v>134.90327528622092</v>
      </c>
      <c r="H123" s="53">
        <f ca="1"/>
        <v>20.167408485674166</v>
      </c>
      <c r="I123" s="53" t="str">
        <f ca="1"/>
        <v>Training</v>
      </c>
      <c r="J123" s="68">
        <f ca="1"/>
        <v>0.6117516217743274</v>
      </c>
      <c r="K123" s="21">
        <f t="shared" ca="1" si="4"/>
        <v>-1.8662673448629334</v>
      </c>
      <c r="L123" s="21">
        <f t="shared" ca="1" si="5"/>
        <v>-187.38414293690303</v>
      </c>
      <c r="M123" s="54"/>
      <c r="N123" s="53"/>
      <c r="O123" s="67">
        <f ca="1"/>
        <v>134.90327528622092</v>
      </c>
      <c r="P123" s="53">
        <f ca="1"/>
        <v>136.76954263108385</v>
      </c>
      <c r="Q123" s="53" t="str">
        <f ca="1"/>
        <v>Training</v>
      </c>
      <c r="R123" s="68">
        <f ca="1"/>
        <v>1.3834114411998675</v>
      </c>
    </row>
    <row r="124" spans="1:18" x14ac:dyDescent="0.3">
      <c r="A124" s="67" t="str">
        <f ca="1"/>
        <v>RT8 (15mm)</v>
      </c>
      <c r="B124" s="53">
        <f ca="1"/>
        <v>170</v>
      </c>
      <c r="C124" s="53" t="str">
        <f ca="1"/>
        <v>Melting</v>
      </c>
      <c r="D124" s="53">
        <f ca="1"/>
        <v>0.5</v>
      </c>
      <c r="E124" s="53">
        <f ca="1"/>
        <v>2</v>
      </c>
      <c r="F124" s="53">
        <f ca="1"/>
        <v>14.901658243472077</v>
      </c>
      <c r="G124" s="53">
        <f ca="1"/>
        <v>299.1960258608637</v>
      </c>
      <c r="H124" s="53">
        <f ca="1"/>
        <v>20.078035677132213</v>
      </c>
      <c r="I124" s="53" t="str">
        <f ca="1"/>
        <v>Training</v>
      </c>
      <c r="J124" s="68">
        <f ca="1"/>
        <v>0.78530380270078692</v>
      </c>
      <c r="K124" s="21">
        <f t="shared" ca="1" si="4"/>
        <v>-5.4893394182821567</v>
      </c>
      <c r="L124" s="21">
        <f t="shared" ca="1" si="5"/>
        <v>-23.091392362260251</v>
      </c>
      <c r="M124" s="54"/>
      <c r="N124" s="53"/>
      <c r="O124" s="67">
        <f ca="1"/>
        <v>299.1960258608637</v>
      </c>
      <c r="P124" s="53">
        <f ca="1"/>
        <v>304.68536527914586</v>
      </c>
      <c r="Q124" s="53" t="str">
        <f ca="1"/>
        <v>Training</v>
      </c>
      <c r="R124" s="68">
        <f ca="1"/>
        <v>1.8346966349195044</v>
      </c>
    </row>
    <row r="125" spans="1:18" x14ac:dyDescent="0.3">
      <c r="A125" s="69" t="str">
        <f ca="1"/>
        <v>RT8</v>
      </c>
      <c r="B125" s="70">
        <f ca="1"/>
        <v>170</v>
      </c>
      <c r="C125" s="70" t="str">
        <f ca="1"/>
        <v>Melting</v>
      </c>
      <c r="D125" s="70">
        <f ca="1"/>
        <v>1</v>
      </c>
      <c r="E125" s="70">
        <f ca="1"/>
        <v>1</v>
      </c>
      <c r="F125" s="70">
        <f ca="1"/>
        <v>7.7868000000008877</v>
      </c>
      <c r="G125" s="70">
        <f ca="1"/>
        <v>134.81040000000056</v>
      </c>
      <c r="H125" s="70">
        <f ca="1"/>
        <v>17.312683002001489</v>
      </c>
      <c r="I125" s="70" t="str">
        <f ca="1"/>
        <v>Training</v>
      </c>
      <c r="J125" s="71">
        <f ca="1"/>
        <v>0.22667465295156808</v>
      </c>
      <c r="K125" s="21">
        <f t="shared" ca="1" si="4"/>
        <v>-24.401679863342679</v>
      </c>
      <c r="L125" s="21">
        <f t="shared" ca="1" si="5"/>
        <v>-187.47701822312339</v>
      </c>
      <c r="M125" s="54"/>
      <c r="N125" s="53"/>
      <c r="O125" s="69">
        <f ca="1"/>
        <v>134.81040000000056</v>
      </c>
      <c r="P125" s="70">
        <f ca="1"/>
        <v>159.21207986334323</v>
      </c>
      <c r="Q125" s="70" t="str">
        <f ca="1"/>
        <v>Training</v>
      </c>
      <c r="R125" s="71">
        <f ca="1"/>
        <v>18.100739900884928</v>
      </c>
    </row>
    <row r="126" spans="1:18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21"/>
      <c r="L126" s="21"/>
      <c r="M126" s="54"/>
      <c r="N126" s="53"/>
      <c r="O126" s="53"/>
      <c r="P126" s="53"/>
      <c r="Q126" s="53"/>
      <c r="R126" s="53"/>
    </row>
    <row r="127" spans="1:18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21"/>
      <c r="L127" s="21"/>
      <c r="M127" s="54"/>
      <c r="N127" s="53"/>
      <c r="O127" s="53"/>
      <c r="P127" s="53"/>
      <c r="Q127" s="53"/>
      <c r="R127" s="53"/>
    </row>
    <row r="128" spans="1:18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21"/>
      <c r="L128" s="21"/>
      <c r="M128" s="54"/>
      <c r="N128" s="53"/>
      <c r="O128" s="53"/>
      <c r="P128" s="53"/>
      <c r="Q128" s="53"/>
      <c r="R128" s="53"/>
    </row>
    <row r="129" spans="1:27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21"/>
      <c r="L129" s="21"/>
      <c r="M129" s="54"/>
      <c r="N129" s="53"/>
      <c r="O129" s="53"/>
      <c r="P129" s="53"/>
      <c r="Q129" s="53"/>
      <c r="R129" s="53"/>
    </row>
    <row r="130" spans="1:27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21"/>
      <c r="L130" s="21"/>
      <c r="M130" s="54"/>
      <c r="N130" s="53"/>
      <c r="O130" s="53"/>
      <c r="P130" s="53"/>
      <c r="Q130" s="53"/>
      <c r="R130" s="53"/>
    </row>
    <row r="131" spans="1:27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21"/>
      <c r="L131" s="21"/>
      <c r="M131" s="54"/>
      <c r="N131" s="53"/>
      <c r="O131" s="53"/>
      <c r="P131" s="53"/>
      <c r="Q131" s="53"/>
      <c r="R131" s="53"/>
    </row>
    <row r="132" spans="1:27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21"/>
      <c r="L132" s="21"/>
      <c r="M132" s="54"/>
      <c r="N132" s="53"/>
      <c r="O132" s="53"/>
      <c r="P132" s="53"/>
      <c r="Q132" s="53"/>
      <c r="R132" s="53"/>
    </row>
    <row r="133" spans="1:27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21"/>
      <c r="L133" s="21"/>
      <c r="M133" s="54"/>
      <c r="N133" s="53"/>
      <c r="O133" s="53"/>
      <c r="P133" s="53"/>
      <c r="Q133" s="53"/>
      <c r="R133" s="53"/>
    </row>
    <row r="134" spans="1:27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21"/>
      <c r="L134" s="21"/>
      <c r="M134" s="54"/>
      <c r="N134" s="53"/>
      <c r="O134" s="53"/>
      <c r="P134" s="53"/>
      <c r="Q134" s="53"/>
      <c r="R134" s="53"/>
    </row>
    <row r="135" spans="1:27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21"/>
      <c r="L135" s="21"/>
      <c r="M135" s="54"/>
      <c r="N135" s="53"/>
      <c r="O135" s="53"/>
      <c r="P135" s="53"/>
      <c r="Q135" s="53"/>
      <c r="R135" s="53"/>
    </row>
    <row r="136" spans="1:27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21"/>
      <c r="L136" s="21"/>
      <c r="M136" s="54"/>
      <c r="N136" s="53"/>
      <c r="O136" s="53"/>
      <c r="P136" s="53"/>
      <c r="Q136" s="53"/>
      <c r="R136" s="53"/>
    </row>
    <row r="137" spans="1:27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21"/>
      <c r="L137" s="21"/>
      <c r="M137" s="54"/>
      <c r="N137" s="53"/>
      <c r="O137" s="53"/>
      <c r="P137" s="53"/>
      <c r="Q137" s="53"/>
      <c r="R137" s="53"/>
    </row>
    <row r="138" spans="1:27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4"/>
      <c r="N138" s="53"/>
      <c r="O138" s="53"/>
      <c r="P138" s="53"/>
      <c r="Q138" s="53"/>
      <c r="R138" s="53"/>
    </row>
    <row r="139" spans="1:27" x14ac:dyDescent="0.3">
      <c r="K139" s="52"/>
      <c r="L139" s="52"/>
    </row>
    <row r="140" spans="1:27" s="2" customFormat="1" x14ac:dyDescent="0.3">
      <c r="A140" s="28" t="str" cm="1">
        <f t="array" aca="1" ref="A140:J157" ca="1">_xlfn._xlws.FILTER(Data_All[],Data_All[T / V]="Validation")</f>
        <v>RT11</v>
      </c>
      <c r="B140" s="29">
        <f ca="1"/>
        <v>170</v>
      </c>
      <c r="C140" s="29" t="str">
        <f ca="1"/>
        <v>Solidification</v>
      </c>
      <c r="D140" s="29">
        <f ca="1"/>
        <v>0.5</v>
      </c>
      <c r="E140" s="29">
        <f ca="1"/>
        <v>1</v>
      </c>
      <c r="F140" s="29">
        <f ca="1"/>
        <v>11.393531322500698</v>
      </c>
      <c r="G140" s="29">
        <f ca="1"/>
        <v>236.18810812499981</v>
      </c>
      <c r="H140" s="29">
        <f ca="1"/>
        <v>20.730017888181866</v>
      </c>
      <c r="I140" s="29" t="str">
        <f ca="1"/>
        <v>Validation</v>
      </c>
      <c r="J140" s="30">
        <f ca="1"/>
        <v>0.19651388490203936</v>
      </c>
      <c r="K140" s="31"/>
      <c r="L140" s="31"/>
      <c r="M140" s="32"/>
      <c r="N140" s="31"/>
      <c r="O140" s="28" cm="1">
        <f t="array" aca="1" ref="O140:R157" ca="1">_xlfn._xlws.FILTER(Estimates_All[],Estimates_All[T / V]="Validation")</f>
        <v>236.18810812499981</v>
      </c>
      <c r="P140" s="29">
        <f ca="1"/>
        <v>232.95677542036228</v>
      </c>
      <c r="Q140" s="29" t="str">
        <f ca="1"/>
        <v>Validation</v>
      </c>
      <c r="R140" s="30">
        <f ca="1"/>
        <v>1.3681182893964299</v>
      </c>
      <c r="V140"/>
      <c r="W140"/>
      <c r="X140"/>
      <c r="Y140"/>
      <c r="Z140"/>
      <c r="AA140"/>
    </row>
    <row r="141" spans="1:27" s="2" customFormat="1" x14ac:dyDescent="0.3">
      <c r="A141" s="33" t="str">
        <f ca="1"/>
        <v>RT11</v>
      </c>
      <c r="B141" s="31">
        <f ca="1"/>
        <v>170</v>
      </c>
      <c r="C141" s="31" t="str">
        <f ca="1"/>
        <v>Solidification</v>
      </c>
      <c r="D141" s="31">
        <f ca="1"/>
        <v>1</v>
      </c>
      <c r="E141" s="31">
        <f ca="1"/>
        <v>3</v>
      </c>
      <c r="F141" s="31">
        <f ca="1"/>
        <v>12.285332570093937</v>
      </c>
      <c r="G141" s="31">
        <f ca="1"/>
        <v>256.57732728687955</v>
      </c>
      <c r="H141" s="31">
        <f ca="1"/>
        <v>20.884849947934107</v>
      </c>
      <c r="I141" s="31" t="str">
        <f ca="1"/>
        <v>Validation</v>
      </c>
      <c r="J141" s="34">
        <f ca="1"/>
        <v>0.20031994990524538</v>
      </c>
      <c r="K141" s="31"/>
      <c r="L141" s="31"/>
      <c r="M141" s="32"/>
      <c r="N141" s="31"/>
      <c r="O141" s="33">
        <f ca="1"/>
        <v>256.57732728687955</v>
      </c>
      <c r="P141" s="31">
        <f ca="1"/>
        <v>251.19090644389283</v>
      </c>
      <c r="Q141" s="31" t="str">
        <f ca="1"/>
        <v>Validation</v>
      </c>
      <c r="R141" s="34">
        <f ca="1"/>
        <v>2.0993362507686255</v>
      </c>
      <c r="V141"/>
      <c r="W141"/>
      <c r="X141"/>
      <c r="Y141"/>
      <c r="Z141"/>
      <c r="AA141"/>
    </row>
    <row r="142" spans="1:27" s="2" customFormat="1" x14ac:dyDescent="0.3">
      <c r="A142" s="33" t="str">
        <f ca="1"/>
        <v>RT18</v>
      </c>
      <c r="B142" s="31">
        <f ca="1"/>
        <v>230</v>
      </c>
      <c r="C142" s="31" t="str">
        <f ca="1"/>
        <v>Solidification</v>
      </c>
      <c r="D142" s="31">
        <f ca="1"/>
        <v>0.5</v>
      </c>
      <c r="E142" s="31">
        <f ca="1"/>
        <v>2</v>
      </c>
      <c r="F142" s="31">
        <f ca="1"/>
        <v>23.56542752499842</v>
      </c>
      <c r="G142" s="31">
        <f ca="1"/>
        <v>527.06882303249881</v>
      </c>
      <c r="H142" s="31">
        <f ca="1"/>
        <v>22.366189727446248</v>
      </c>
      <c r="I142" s="31" t="str">
        <f ca="1"/>
        <v>Validation</v>
      </c>
      <c r="J142" s="34">
        <f ca="1"/>
        <v>0.99925070917672254</v>
      </c>
      <c r="K142" s="31"/>
      <c r="L142" s="31"/>
      <c r="M142" s="32"/>
      <c r="N142" s="31"/>
      <c r="O142" s="33">
        <f ca="1"/>
        <v>527.06882303249881</v>
      </c>
      <c r="P142" s="31">
        <f ca="1"/>
        <v>481.82831575530997</v>
      </c>
      <c r="Q142" s="31" t="str">
        <f ca="1"/>
        <v>Validation</v>
      </c>
      <c r="R142" s="34">
        <f ca="1"/>
        <v>8.583415542755283</v>
      </c>
      <c r="V142"/>
      <c r="W142"/>
      <c r="X142"/>
      <c r="Y142"/>
      <c r="Z142"/>
      <c r="AA142"/>
    </row>
    <row r="143" spans="1:27" s="2" customFormat="1" x14ac:dyDescent="0.3">
      <c r="A143" s="33" t="str">
        <f ca="1"/>
        <v>RT11</v>
      </c>
      <c r="B143" s="31">
        <f ca="1"/>
        <v>170</v>
      </c>
      <c r="C143" s="31" t="str">
        <f ca="1"/>
        <v>Solidification</v>
      </c>
      <c r="D143" s="31">
        <f ca="1"/>
        <v>1</v>
      </c>
      <c r="E143" s="31">
        <f ca="1"/>
        <v>1</v>
      </c>
      <c r="F143" s="31">
        <f ca="1"/>
        <v>11.990650156666428</v>
      </c>
      <c r="G143" s="31">
        <f ca="1"/>
        <v>261.17692526275403</v>
      </c>
      <c r="H143" s="31">
        <f ca="1"/>
        <v>21.781715073852585</v>
      </c>
      <c r="I143" s="31" t="str">
        <f ca="1"/>
        <v>Validation</v>
      </c>
      <c r="J143" s="34">
        <f ca="1"/>
        <v>0.23408237216535754</v>
      </c>
      <c r="K143" s="31"/>
      <c r="L143" s="31"/>
      <c r="M143" s="32"/>
      <c r="N143" s="31"/>
      <c r="O143" s="33">
        <f ca="1"/>
        <v>261.17692526275403</v>
      </c>
      <c r="P143" s="31">
        <f ca="1"/>
        <v>245.16570996511618</v>
      </c>
      <c r="Q143" s="31" t="str">
        <f ca="1"/>
        <v>Validation</v>
      </c>
      <c r="R143" s="34">
        <f ca="1"/>
        <v>6.130409599366387</v>
      </c>
      <c r="V143"/>
      <c r="W143"/>
      <c r="X143"/>
      <c r="Y143"/>
      <c r="Z143"/>
      <c r="AA143"/>
    </row>
    <row r="144" spans="1:27" s="2" customFormat="1" x14ac:dyDescent="0.3">
      <c r="A144" s="33" t="str">
        <f ca="1"/>
        <v>RT24</v>
      </c>
      <c r="B144" s="31">
        <f ca="1"/>
        <v>170</v>
      </c>
      <c r="C144" s="31" t="str">
        <f ca="1"/>
        <v>Solidification</v>
      </c>
      <c r="D144" s="31">
        <f ca="1"/>
        <v>1</v>
      </c>
      <c r="E144" s="31">
        <f ca="1"/>
        <v>3</v>
      </c>
      <c r="F144" s="31">
        <f ca="1"/>
        <v>17.283599999999968</v>
      </c>
      <c r="G144" s="31">
        <f ca="1"/>
        <v>360.78210000000001</v>
      </c>
      <c r="H144" s="31">
        <f ca="1"/>
        <v>20.874244948969007</v>
      </c>
      <c r="I144" s="31" t="str">
        <f ca="1"/>
        <v>Validation</v>
      </c>
      <c r="J144" s="34">
        <f ca="1"/>
        <v>0.50195286726657518</v>
      </c>
      <c r="K144" s="31"/>
      <c r="L144" s="31"/>
      <c r="M144" s="32"/>
      <c r="N144" s="31"/>
      <c r="O144" s="33">
        <f ca="1"/>
        <v>360.78210000000001</v>
      </c>
      <c r="P144" s="31">
        <f ca="1"/>
        <v>353.38751522136954</v>
      </c>
      <c r="Q144" s="31" t="str">
        <f ca="1"/>
        <v>Validation</v>
      </c>
      <c r="R144" s="34">
        <f ca="1"/>
        <v>2.0495985744942651</v>
      </c>
      <c r="V144"/>
      <c r="W144"/>
      <c r="X144"/>
      <c r="Y144"/>
      <c r="Z144"/>
      <c r="AA144"/>
    </row>
    <row r="145" spans="1:27" s="2" customFormat="1" x14ac:dyDescent="0.3">
      <c r="A145" s="33" t="str">
        <f ca="1"/>
        <v>RT24</v>
      </c>
      <c r="B145" s="31">
        <f ca="1"/>
        <v>170</v>
      </c>
      <c r="C145" s="31" t="str">
        <f ca="1"/>
        <v>Solidification</v>
      </c>
      <c r="D145" s="31">
        <f ca="1"/>
        <v>0.5</v>
      </c>
      <c r="E145" s="31">
        <f ca="1"/>
        <v>2</v>
      </c>
      <c r="F145" s="31">
        <f ca="1"/>
        <v>17.790648849835058</v>
      </c>
      <c r="G145" s="31">
        <f ca="1"/>
        <v>369.31674307917132</v>
      </c>
      <c r="H145" s="31">
        <f ca="1"/>
        <v>20.759037300800603</v>
      </c>
      <c r="I145" s="31" t="str">
        <f ca="1"/>
        <v>Validation</v>
      </c>
      <c r="J145" s="34">
        <f ca="1"/>
        <v>3.3233343349955424E-2</v>
      </c>
      <c r="K145" s="31"/>
      <c r="L145" s="31"/>
      <c r="M145" s="32"/>
      <c r="N145" s="31"/>
      <c r="O145" s="33">
        <f ca="1"/>
        <v>369.31674307917132</v>
      </c>
      <c r="P145" s="31">
        <f ca="1"/>
        <v>363.75484223304977</v>
      </c>
      <c r="Q145" s="31" t="str">
        <f ca="1"/>
        <v>Validation</v>
      </c>
      <c r="R145" s="34">
        <f ca="1"/>
        <v>1.5059974805770526</v>
      </c>
      <c r="V145"/>
      <c r="W145"/>
      <c r="X145"/>
      <c r="Y145"/>
      <c r="Z145"/>
      <c r="AA145"/>
    </row>
    <row r="146" spans="1:27" s="2" customFormat="1" x14ac:dyDescent="0.3">
      <c r="A146" s="33" t="str">
        <f ca="1"/>
        <v>RT8 (15mm)</v>
      </c>
      <c r="B146" s="31">
        <f ca="1"/>
        <v>170</v>
      </c>
      <c r="C146" s="31" t="str">
        <f ca="1"/>
        <v>Solidification</v>
      </c>
      <c r="D146" s="31">
        <f ca="1"/>
        <v>1</v>
      </c>
      <c r="E146" s="31">
        <f ca="1"/>
        <v>2</v>
      </c>
      <c r="F146" s="31">
        <f ca="1"/>
        <v>20.233381415732683</v>
      </c>
      <c r="G146" s="31">
        <f ca="1"/>
        <v>404.99093146994852</v>
      </c>
      <c r="H146" s="31">
        <f ca="1"/>
        <v>20.015978701169711</v>
      </c>
      <c r="I146" s="31" t="str">
        <f ca="1"/>
        <v>Validation</v>
      </c>
      <c r="J146" s="34">
        <f ca="1"/>
        <v>0.86226327574054795</v>
      </c>
      <c r="K146" s="31"/>
      <c r="L146" s="31"/>
      <c r="M146" s="32"/>
      <c r="N146" s="31"/>
      <c r="O146" s="33">
        <f ca="1"/>
        <v>404.99093146994852</v>
      </c>
      <c r="P146" s="31">
        <f ca="1"/>
        <v>413.69994578861014</v>
      </c>
      <c r="Q146" s="31" t="str">
        <f ca="1"/>
        <v>Validation</v>
      </c>
      <c r="R146" s="34">
        <f ca="1"/>
        <v>2.150422056872118</v>
      </c>
      <c r="V146"/>
      <c r="W146"/>
      <c r="X146"/>
      <c r="Y146"/>
      <c r="Z146"/>
      <c r="AA146"/>
    </row>
    <row r="147" spans="1:27" s="2" customFormat="1" x14ac:dyDescent="0.3">
      <c r="A147" s="33" t="str">
        <f ca="1"/>
        <v>RT8</v>
      </c>
      <c r="B147" s="31">
        <f ca="1"/>
        <v>170</v>
      </c>
      <c r="C147" s="31" t="str">
        <f ca="1"/>
        <v>Solidification</v>
      </c>
      <c r="D147" s="31">
        <f ca="1"/>
        <v>0.5</v>
      </c>
      <c r="E147" s="31">
        <f ca="1"/>
        <v>1</v>
      </c>
      <c r="F147" s="31">
        <f ca="1"/>
        <v>9.9350536485328842</v>
      </c>
      <c r="G147" s="31">
        <f ca="1"/>
        <v>186.11332479736413</v>
      </c>
      <c r="H147" s="31">
        <f ca="1"/>
        <v>18.732996456928802</v>
      </c>
      <c r="I147" s="31" t="str">
        <f ca="1"/>
        <v>Validation</v>
      </c>
      <c r="J147" s="34">
        <f ca="1"/>
        <v>0.59754287266827066</v>
      </c>
      <c r="K147" s="31"/>
      <c r="L147" s="31"/>
      <c r="M147" s="32"/>
      <c r="N147" s="31"/>
      <c r="O147" s="33">
        <f ca="1"/>
        <v>186.11332479736413</v>
      </c>
      <c r="P147" s="31">
        <f ca="1"/>
        <v>203.13614770337455</v>
      </c>
      <c r="Q147" s="31" t="str">
        <f ca="1"/>
        <v>Validation</v>
      </c>
      <c r="R147" s="34">
        <f ca="1"/>
        <v>9.1464826199545222</v>
      </c>
      <c r="V147"/>
      <c r="W147"/>
      <c r="X147"/>
      <c r="Y147"/>
      <c r="Z147"/>
      <c r="AA147"/>
    </row>
    <row r="148" spans="1:27" s="2" customFormat="1" x14ac:dyDescent="0.3">
      <c r="A148" s="33" t="str">
        <f ca="1"/>
        <v>RT11</v>
      </c>
      <c r="B148" s="31">
        <f ca="1"/>
        <v>170</v>
      </c>
      <c r="C148" s="31" t="str">
        <f ca="1"/>
        <v>Solidification</v>
      </c>
      <c r="D148" s="31">
        <f ca="1"/>
        <v>0.5</v>
      </c>
      <c r="E148" s="31">
        <f ca="1"/>
        <v>2</v>
      </c>
      <c r="F148" s="31">
        <f ca="1"/>
        <v>11.77665961250081</v>
      </c>
      <c r="G148" s="31">
        <f ca="1"/>
        <v>233.4736145374998</v>
      </c>
      <c r="H148" s="31">
        <f ca="1"/>
        <v>19.825113590756231</v>
      </c>
      <c r="I148" s="31" t="str">
        <f ca="1"/>
        <v>Validation</v>
      </c>
      <c r="J148" s="34">
        <f ca="1"/>
        <v>0.56660637756445742</v>
      </c>
      <c r="K148" s="31"/>
      <c r="L148" s="31"/>
      <c r="M148" s="32"/>
      <c r="N148" s="31"/>
      <c r="O148" s="33">
        <f ca="1"/>
        <v>233.4736145374998</v>
      </c>
      <c r="P148" s="31">
        <f ca="1"/>
        <v>240.79037226443134</v>
      </c>
      <c r="Q148" s="31" t="str">
        <f ca="1"/>
        <v>Validation</v>
      </c>
      <c r="R148" s="34">
        <f ca="1"/>
        <v>3.1338692131981136</v>
      </c>
      <c r="V148"/>
      <c r="W148"/>
      <c r="X148"/>
      <c r="Y148"/>
      <c r="Z148"/>
      <c r="AA148"/>
    </row>
    <row r="149" spans="1:27" s="2" customFormat="1" x14ac:dyDescent="0.3">
      <c r="A149" s="33" t="str">
        <f ca="1"/>
        <v>RT11</v>
      </c>
      <c r="B149" s="31">
        <f ca="1"/>
        <v>170</v>
      </c>
      <c r="C149" s="31" t="str">
        <f ca="1"/>
        <v>Solidification</v>
      </c>
      <c r="D149" s="31">
        <f ca="1"/>
        <v>1</v>
      </c>
      <c r="E149" s="31">
        <f ca="1"/>
        <v>2</v>
      </c>
      <c r="F149" s="31">
        <f ca="1"/>
        <v>12.414593957682301</v>
      </c>
      <c r="G149" s="31">
        <f ca="1"/>
        <v>251.89549266775174</v>
      </c>
      <c r="H149" s="31">
        <f ca="1"/>
        <v>20.290272362220573</v>
      </c>
      <c r="I149" s="31" t="str">
        <f ca="1"/>
        <v>Validation</v>
      </c>
      <c r="J149" s="34">
        <f ca="1"/>
        <v>0.30752649838969381</v>
      </c>
      <c r="K149" s="31"/>
      <c r="L149" s="31"/>
      <c r="M149" s="32"/>
      <c r="N149" s="31"/>
      <c r="O149" s="33">
        <f ca="1"/>
        <v>251.89549266775174</v>
      </c>
      <c r="P149" s="31">
        <f ca="1"/>
        <v>253.83383734798218</v>
      </c>
      <c r="Q149" s="31" t="str">
        <f ca="1"/>
        <v>Validation</v>
      </c>
      <c r="R149" s="34">
        <f ca="1"/>
        <v>0.76950351898003411</v>
      </c>
      <c r="V149"/>
      <c r="W149"/>
      <c r="X149"/>
      <c r="Y149"/>
      <c r="Z149"/>
      <c r="AA149"/>
    </row>
    <row r="150" spans="1:27" s="2" customFormat="1" x14ac:dyDescent="0.3">
      <c r="A150" s="33" t="str">
        <f ca="1"/>
        <v>RT24</v>
      </c>
      <c r="B150" s="31">
        <f ca="1"/>
        <v>170</v>
      </c>
      <c r="C150" s="31" t="str">
        <f ca="1"/>
        <v>Melting</v>
      </c>
      <c r="D150" s="31">
        <f ca="1"/>
        <v>0.5</v>
      </c>
      <c r="E150" s="31">
        <f ca="1"/>
        <v>1</v>
      </c>
      <c r="F150" s="31">
        <f ca="1"/>
        <v>10.12844069601827</v>
      </c>
      <c r="G150" s="31">
        <f ca="1"/>
        <v>212.52860331422897</v>
      </c>
      <c r="H150" s="31">
        <f ca="1"/>
        <v>20.983348739730392</v>
      </c>
      <c r="I150" s="31" t="str">
        <f ca="1"/>
        <v>Validation</v>
      </c>
      <c r="J150" s="34">
        <f ca="1"/>
        <v>0.24518703429640198</v>
      </c>
      <c r="K150" s="31"/>
      <c r="L150" s="31"/>
      <c r="M150" s="32"/>
      <c r="N150" s="31"/>
      <c r="O150" s="33">
        <f ca="1"/>
        <v>212.52860331422897</v>
      </c>
      <c r="P150" s="31">
        <f ca="1"/>
        <v>207.09021793103878</v>
      </c>
      <c r="Q150" s="31" t="str">
        <f ca="1"/>
        <v>Validation</v>
      </c>
      <c r="R150" s="34">
        <f ca="1"/>
        <v>2.5588957431529358</v>
      </c>
      <c r="V150"/>
      <c r="W150"/>
      <c r="X150"/>
      <c r="Y150"/>
      <c r="Z150"/>
      <c r="AA150"/>
    </row>
    <row r="151" spans="1:27" s="2" customFormat="1" x14ac:dyDescent="0.3">
      <c r="A151" s="33" t="str">
        <f ca="1"/>
        <v>RT11</v>
      </c>
      <c r="B151" s="31">
        <f ca="1"/>
        <v>170</v>
      </c>
      <c r="C151" s="31" t="str">
        <f ca="1"/>
        <v>Solidification</v>
      </c>
      <c r="D151" s="31">
        <f ca="1"/>
        <v>0.5</v>
      </c>
      <c r="E151" s="31">
        <f ca="1"/>
        <v>3</v>
      </c>
      <c r="F151" s="31">
        <f ca="1"/>
        <v>14.158822452174912</v>
      </c>
      <c r="G151" s="31">
        <f ca="1"/>
        <v>270.25498746086953</v>
      </c>
      <c r="H151" s="31">
        <f ca="1"/>
        <v>19.087391509691273</v>
      </c>
      <c r="I151" s="31" t="str">
        <f ca="1"/>
        <v>Validation</v>
      </c>
      <c r="J151" s="34">
        <f ca="1"/>
        <v>0.77202834754613281</v>
      </c>
      <c r="K151" s="31"/>
      <c r="L151" s="31"/>
      <c r="M151" s="32"/>
      <c r="N151" s="31"/>
      <c r="O151" s="33">
        <f ca="1"/>
        <v>270.25498746086953</v>
      </c>
      <c r="P151" s="31">
        <f ca="1"/>
        <v>289.49704256258184</v>
      </c>
      <c r="Q151" s="31" t="str">
        <f ca="1"/>
        <v>Validation</v>
      </c>
      <c r="R151" s="34">
        <f ca="1"/>
        <v>7.1199629958719575</v>
      </c>
      <c r="V151"/>
      <c r="W151"/>
      <c r="X151"/>
      <c r="Y151"/>
      <c r="Z151"/>
      <c r="AA151"/>
    </row>
    <row r="152" spans="1:27" x14ac:dyDescent="0.3">
      <c r="A152" s="33" t="str">
        <f ca="1"/>
        <v>RT8</v>
      </c>
      <c r="B152" s="31">
        <f ca="1"/>
        <v>170</v>
      </c>
      <c r="C152" s="31" t="str">
        <f ca="1"/>
        <v>Melting</v>
      </c>
      <c r="D152" s="31">
        <f ca="1"/>
        <v>1</v>
      </c>
      <c r="E152" s="31">
        <f ca="1"/>
        <v>3</v>
      </c>
      <c r="F152" s="31">
        <f ca="1"/>
        <v>7.872829771852226</v>
      </c>
      <c r="G152" s="31">
        <f ca="1"/>
        <v>156.15565369073173</v>
      </c>
      <c r="H152" s="31">
        <f ca="1"/>
        <v>19.834755509262493</v>
      </c>
      <c r="I152" s="31" t="str">
        <f ca="1"/>
        <v>Validation</v>
      </c>
      <c r="J152" s="34">
        <f ca="1"/>
        <v>0.86684285348332402</v>
      </c>
      <c r="O152" s="33">
        <f ca="1"/>
        <v>156.15565369073173</v>
      </c>
      <c r="P152" s="31">
        <f ca="1"/>
        <v>160.97107956882161</v>
      </c>
      <c r="Q152" s="31" t="str">
        <f ca="1"/>
        <v>Validation</v>
      </c>
      <c r="R152" s="34">
        <f ca="1"/>
        <v>3.083734571421215</v>
      </c>
    </row>
    <row r="153" spans="1:27" x14ac:dyDescent="0.3">
      <c r="A153" s="33" t="str">
        <f ca="1"/>
        <v>RT11</v>
      </c>
      <c r="B153" s="31">
        <f ca="1"/>
        <v>170</v>
      </c>
      <c r="C153" s="31" t="str">
        <f ca="1"/>
        <v>Melting</v>
      </c>
      <c r="D153" s="31">
        <f ca="1"/>
        <v>1</v>
      </c>
      <c r="E153" s="31">
        <f ca="1"/>
        <v>1</v>
      </c>
      <c r="F153" s="31">
        <f ca="1"/>
        <v>11.064381075029758</v>
      </c>
      <c r="G153" s="31">
        <f ca="1"/>
        <v>222.77243533078848</v>
      </c>
      <c r="H153" s="31">
        <f ca="1"/>
        <v>20.134197640168441</v>
      </c>
      <c r="I153" s="31" t="str">
        <f ca="1"/>
        <v>Validation</v>
      </c>
      <c r="J153" s="34">
        <f ca="1"/>
        <v>0.51637090956733389</v>
      </c>
      <c r="O153" s="33">
        <f ca="1"/>
        <v>222.77243533078848</v>
      </c>
      <c r="P153" s="31">
        <f ca="1"/>
        <v>226.22683558790521</v>
      </c>
      <c r="Q153" s="31" t="str">
        <f ca="1"/>
        <v>Validation</v>
      </c>
      <c r="R153" s="34">
        <f ca="1"/>
        <v>1.5506407926938492</v>
      </c>
    </row>
    <row r="154" spans="1:27" x14ac:dyDescent="0.3">
      <c r="A154" s="33" t="str">
        <f ca="1"/>
        <v>RT8 (15mm)</v>
      </c>
      <c r="B154" s="31">
        <f ca="1"/>
        <v>170</v>
      </c>
      <c r="C154" s="31" t="str">
        <f ca="1"/>
        <v>Solidification</v>
      </c>
      <c r="D154" s="31">
        <f ca="1"/>
        <v>0.5</v>
      </c>
      <c r="E154" s="31">
        <f ca="1"/>
        <v>1</v>
      </c>
      <c r="F154" s="31">
        <f ca="1"/>
        <v>19.795800000000789</v>
      </c>
      <c r="G154" s="31">
        <f ca="1"/>
        <v>417.0263999999998</v>
      </c>
      <c r="H154" s="31">
        <f ca="1"/>
        <v>21.066408025944046</v>
      </c>
      <c r="I154" s="31" t="str">
        <f ca="1"/>
        <v>Validation</v>
      </c>
      <c r="J154" s="34">
        <f ca="1"/>
        <v>0.83184041846001489</v>
      </c>
      <c r="O154" s="33">
        <f ca="1"/>
        <v>417.0263999999998</v>
      </c>
      <c r="P154" s="31">
        <f ca="1"/>
        <v>404.75297818854165</v>
      </c>
      <c r="Q154" s="31" t="str">
        <f ca="1"/>
        <v>Validation</v>
      </c>
      <c r="R154" s="34">
        <f ca="1"/>
        <v>2.9430802969447871</v>
      </c>
    </row>
    <row r="155" spans="1:27" x14ac:dyDescent="0.3">
      <c r="A155" s="33" t="str">
        <f ca="1"/>
        <v>RT11</v>
      </c>
      <c r="B155" s="31">
        <f ca="1"/>
        <v>170</v>
      </c>
      <c r="C155" s="31" t="str">
        <f ca="1"/>
        <v>Melting</v>
      </c>
      <c r="D155" s="31">
        <f ca="1"/>
        <v>0.5</v>
      </c>
      <c r="E155" s="31">
        <f ca="1"/>
        <v>1</v>
      </c>
      <c r="F155" s="31">
        <f ca="1"/>
        <v>12.236660066643104</v>
      </c>
      <c r="G155" s="31">
        <f ca="1"/>
        <v>246.42412532412126</v>
      </c>
      <c r="H155" s="31">
        <f ca="1"/>
        <v>20.138185091524168</v>
      </c>
      <c r="I155" s="31" t="str">
        <f ca="1"/>
        <v>Validation</v>
      </c>
      <c r="J155" s="34">
        <f ca="1"/>
        <v>0.39059089158642057</v>
      </c>
      <c r="O155" s="33">
        <f ca="1"/>
        <v>246.42412532412126</v>
      </c>
      <c r="P155" s="31">
        <f ca="1"/>
        <v>250.1957286421563</v>
      </c>
      <c r="Q155" s="31" t="str">
        <f ca="1"/>
        <v>Validation</v>
      </c>
      <c r="R155" s="34">
        <f ca="1"/>
        <v>1.5305333084064923</v>
      </c>
    </row>
    <row r="156" spans="1:27" x14ac:dyDescent="0.3">
      <c r="A156" s="33" t="str">
        <f ca="1"/>
        <v>RT24</v>
      </c>
      <c r="B156" s="31">
        <f ca="1"/>
        <v>170</v>
      </c>
      <c r="C156" s="31" t="str">
        <f ca="1"/>
        <v>Solidification</v>
      </c>
      <c r="D156" s="31">
        <f ca="1"/>
        <v>0.5</v>
      </c>
      <c r="E156" s="31">
        <f ca="1"/>
        <v>3</v>
      </c>
      <c r="F156" s="31">
        <f ca="1"/>
        <v>15.972408843058197</v>
      </c>
      <c r="G156" s="31">
        <f ca="1"/>
        <v>309.82490270263133</v>
      </c>
      <c r="H156" s="31">
        <f ca="1"/>
        <v>19.397506396618752</v>
      </c>
      <c r="I156" s="31" t="str">
        <f ca="1"/>
        <v>Validation</v>
      </c>
      <c r="J156" s="34">
        <f ca="1"/>
        <v>0.92895445052083292</v>
      </c>
      <c r="O156" s="33">
        <f ca="1"/>
        <v>309.82490270263133</v>
      </c>
      <c r="P156" s="31">
        <f ca="1"/>
        <v>326.57836753617164</v>
      </c>
      <c r="Q156" s="31" t="str">
        <f ca="1"/>
        <v>Validation</v>
      </c>
      <c r="R156" s="34">
        <f ca="1"/>
        <v>5.4073977551185459</v>
      </c>
    </row>
    <row r="157" spans="1:27" x14ac:dyDescent="0.3">
      <c r="A157" s="35" t="str">
        <f ca="1"/>
        <v>RT18</v>
      </c>
      <c r="B157" s="36">
        <f ca="1"/>
        <v>230</v>
      </c>
      <c r="C157" s="36" t="str">
        <f ca="1"/>
        <v>Melting</v>
      </c>
      <c r="D157" s="36">
        <f ca="1"/>
        <v>0.5</v>
      </c>
      <c r="E157" s="36">
        <f ca="1"/>
        <v>2</v>
      </c>
      <c r="F157" s="36">
        <f ca="1"/>
        <v>22.836000000008426</v>
      </c>
      <c r="G157" s="36">
        <f ca="1"/>
        <v>554.20560000000489</v>
      </c>
      <c r="H157" s="36">
        <f ca="1"/>
        <v>24.268943772981274</v>
      </c>
      <c r="I157" s="36" t="str">
        <f ca="1"/>
        <v>Validation</v>
      </c>
      <c r="J157" s="37">
        <f ca="1"/>
        <v>0.80682742044069411</v>
      </c>
      <c r="O157" s="35">
        <f ca="1"/>
        <v>554.20560000000489</v>
      </c>
      <c r="P157" s="36">
        <f ca="1"/>
        <v>466.91414390510005</v>
      </c>
      <c r="Q157" s="36" t="str">
        <f ca="1"/>
        <v>Validation</v>
      </c>
      <c r="R157" s="37">
        <f ca="1"/>
        <v>15.750735123373721</v>
      </c>
    </row>
  </sheetData>
  <mergeCells count="2">
    <mergeCell ref="A1:M1"/>
    <mergeCell ref="O1:R1"/>
  </mergeCells>
  <conditionalFormatting sqref="I22:I139">
    <cfRule type="expression" dxfId="4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A9ED-2DB6-4A64-869A-2157045E89BB}">
  <dimension ref="A1:AA95"/>
  <sheetViews>
    <sheetView zoomScale="70" zoomScaleNormal="7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2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2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2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_xlfn.MAXIFS(Estimates_Solidification[Error],Estimates_Solidification[T / V],"Training")</f>
        <v>16.0363133937316</v>
      </c>
      <c r="R4" s="2"/>
      <c r="T4"/>
    </row>
    <row r="5" spans="1:22" x14ac:dyDescent="0.3">
      <c r="B5" s="11" t="s">
        <v>21</v>
      </c>
      <c r="C5" s="10">
        <v>0.7</v>
      </c>
      <c r="D5" s="10">
        <f>Training*D7</f>
        <v>21</v>
      </c>
      <c r="J5"/>
      <c r="K5"/>
      <c r="L5"/>
      <c r="M5" s="9"/>
      <c r="N5"/>
      <c r="O5" s="39"/>
      <c r="P5" s="2" t="s">
        <v>29</v>
      </c>
      <c r="Q5" s="3">
        <f ca="1">_xlfn.MINIFS(Estimates_Solidification[Error],Estimates_Solidification[T / V],"Training")</f>
        <v>0.21622277945656698</v>
      </c>
      <c r="R5" s="2"/>
      <c r="T5"/>
    </row>
    <row r="6" spans="1:22" x14ac:dyDescent="0.3">
      <c r="B6" s="12" t="s">
        <v>22</v>
      </c>
      <c r="C6" s="3">
        <f>1-C5</f>
        <v>0.30000000000000004</v>
      </c>
      <c r="D6" s="3">
        <f>Validation*D7</f>
        <v>9.0000000000000018</v>
      </c>
      <c r="J6"/>
      <c r="K6"/>
      <c r="L6"/>
      <c r="M6" s="9"/>
      <c r="N6"/>
      <c r="O6" s="39"/>
      <c r="P6" s="2" t="s">
        <v>30</v>
      </c>
      <c r="Q6" s="3">
        <f ca="1">AVERAGEIFS(Estimates_Solidification[Error],Estimates_Solidification[T / V],"Training")</f>
        <v>5.2611064308544355</v>
      </c>
      <c r="R6" s="2"/>
      <c r="T6"/>
    </row>
    <row r="7" spans="1:22" x14ac:dyDescent="0.3">
      <c r="B7" s="13" t="s">
        <v>23</v>
      </c>
      <c r="C7" s="7">
        <v>1</v>
      </c>
      <c r="D7" s="7">
        <f>COUNT(Data_Solidification[L])</f>
        <v>30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_xlfn.MAXIFS(Estimates_Solidification[Error],Estimates_Solidification[T / V],"Validation")</f>
        <v>9.1435167503890984</v>
      </c>
      <c r="R7" s="2"/>
      <c r="T7"/>
    </row>
    <row r="8" spans="1:22" x14ac:dyDescent="0.3">
      <c r="J8"/>
      <c r="K8"/>
      <c r="L8"/>
      <c r="M8" s="9"/>
      <c r="N8"/>
      <c r="O8" s="39"/>
      <c r="P8" s="2" t="s">
        <v>29</v>
      </c>
      <c r="Q8" s="3">
        <f ca="1">_xlfn.MINIFS(Estimates_Solidification[Error],Estimates_Solidification[T / V],"Validation")</f>
        <v>0.73173790339008526</v>
      </c>
      <c r="R8" s="2"/>
      <c r="T8"/>
    </row>
    <row r="9" spans="1:22" x14ac:dyDescent="0.3">
      <c r="J9"/>
      <c r="K9"/>
      <c r="L9"/>
      <c r="M9" s="9"/>
      <c r="N9"/>
      <c r="O9" s="38"/>
      <c r="P9" s="4" t="s">
        <v>30</v>
      </c>
      <c r="Q9" s="7">
        <f ca="1">AVERAGEIFS(Estimates_Solidification[Error],Estimates_Solidification[T / V],"Validation")</f>
        <v>5.2620042008891668</v>
      </c>
      <c r="R9" s="2"/>
      <c r="T9"/>
    </row>
    <row r="10" spans="1:22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2" x14ac:dyDescent="0.3">
      <c r="B11" s="11" t="s">
        <v>15</v>
      </c>
      <c r="C11" s="3">
        <f ca="1">SUMPRODUCT(F55:F75,G55:G75)/SUMSQ(F55:F75)</f>
        <v>20.445851125817885</v>
      </c>
      <c r="J11"/>
      <c r="K11"/>
      <c r="L11"/>
      <c r="M11" s="9"/>
      <c r="N11"/>
      <c r="O11" s="39"/>
      <c r="P11" s="2"/>
      <c r="R11" s="2"/>
      <c r="T11"/>
    </row>
    <row r="12" spans="1:22" x14ac:dyDescent="0.3">
      <c r="B12" s="12" t="s">
        <v>14</v>
      </c>
      <c r="C12" s="3">
        <v>0</v>
      </c>
      <c r="G12"/>
      <c r="H12" s="2"/>
      <c r="I12"/>
      <c r="J12"/>
      <c r="K12"/>
      <c r="L12"/>
      <c r="M12" s="9"/>
      <c r="N12" s="73"/>
      <c r="O12" s="5"/>
      <c r="P12" s="5"/>
      <c r="Q12" s="40"/>
      <c r="R12" s="5"/>
      <c r="S12" s="5"/>
      <c r="T12" s="73"/>
      <c r="U12" s="5"/>
      <c r="V12" s="73"/>
    </row>
    <row r="13" spans="1:22" ht="16.2" x14ac:dyDescent="0.3">
      <c r="B13" s="13" t="s">
        <v>31</v>
      </c>
      <c r="C13" s="7">
        <f ca="1">1-SUMSQ(K53:K89)/SUMSQ(L53:L89)</f>
        <v>0.97113192089359424</v>
      </c>
      <c r="N13" s="5"/>
      <c r="O13" s="74"/>
      <c r="P13" s="5"/>
      <c r="Q13" s="40"/>
      <c r="R13" s="5"/>
      <c r="S13" s="5"/>
      <c r="T13" s="73"/>
      <c r="U13" s="5"/>
      <c r="V13" s="73"/>
    </row>
    <row r="14" spans="1:22" x14ac:dyDescent="0.3">
      <c r="N14" s="5"/>
      <c r="O14" s="40"/>
      <c r="P14" s="5"/>
      <c r="Q14" s="40"/>
      <c r="R14" s="5"/>
      <c r="S14" s="5"/>
      <c r="T14" s="73"/>
      <c r="U14" s="5"/>
      <c r="V14" s="73"/>
    </row>
    <row r="15" spans="1:22" x14ac:dyDescent="0.3">
      <c r="B15" s="51" t="s">
        <v>39</v>
      </c>
      <c r="N15" s="5"/>
      <c r="O15" s="15"/>
      <c r="P15" s="15"/>
      <c r="Q15" s="15"/>
      <c r="R15" s="15"/>
      <c r="S15" s="15"/>
      <c r="T15" s="16"/>
      <c r="U15" s="5"/>
      <c r="V15" s="73"/>
    </row>
    <row r="16" spans="1:22" ht="15.6" x14ac:dyDescent="0.35">
      <c r="B16" s="14" t="s">
        <v>40</v>
      </c>
      <c r="C16" s="14" t="s">
        <v>41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5"/>
      <c r="V16" s="73"/>
    </row>
    <row r="17" spans="1:27" x14ac:dyDescent="0.3">
      <c r="B17" s="10">
        <v>6</v>
      </c>
      <c r="C17" s="10">
        <f ca="1">B17*C11</f>
        <v>122.67510675490732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5"/>
      <c r="V17" s="73"/>
    </row>
    <row r="18" spans="1:27" x14ac:dyDescent="0.3">
      <c r="B18" s="7">
        <v>28</v>
      </c>
      <c r="C18" s="7">
        <f ca="1">B18*C11</f>
        <v>572.4838315229008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5"/>
      <c r="V18" s="73"/>
    </row>
    <row r="19" spans="1:27" x14ac:dyDescent="0.3">
      <c r="N19" s="40"/>
      <c r="O19" s="15"/>
      <c r="P19" s="15"/>
      <c r="Q19" s="15"/>
      <c r="R19" s="15"/>
      <c r="S19" s="15"/>
      <c r="T19" s="15"/>
      <c r="U19" s="5"/>
      <c r="V19" s="73"/>
    </row>
    <row r="20" spans="1:27" x14ac:dyDescent="0.3">
      <c r="N20" s="40"/>
      <c r="O20" s="15"/>
      <c r="P20" s="15"/>
      <c r="Q20" s="15"/>
      <c r="R20" s="15"/>
      <c r="S20" s="15"/>
      <c r="T20" s="15"/>
      <c r="U20" s="5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38</v>
      </c>
      <c r="B22" s="3">
        <v>230</v>
      </c>
      <c r="C22" s="3" t="s">
        <v>9</v>
      </c>
      <c r="D22" s="3">
        <v>0.5</v>
      </c>
      <c r="E22" s="3">
        <v>3</v>
      </c>
      <c r="F22" s="3">
        <v>24.450227664</v>
      </c>
      <c r="G22" s="3">
        <v>552.97144175999995</v>
      </c>
      <c r="H22" s="3">
        <v>22.6162083</v>
      </c>
      <c r="I22" s="3" t="str">
        <f>IF(ROWS($I$22:I22)&lt;=n_T,"Training","Validation")</f>
        <v>Training</v>
      </c>
      <c r="J22" s="3">
        <f t="shared" ref="J22:J51" ca="1" si="0">RAND()</f>
        <v>0.87123136620261954</v>
      </c>
      <c r="K22" s="52"/>
      <c r="L22" s="52"/>
      <c r="O22" s="3">
        <f>Data_Solidification[[#This Row],[A_q]]</f>
        <v>552.97144175999995</v>
      </c>
      <c r="P22" s="3">
        <f ca="1">Data_Solidification[[#This Row],[A_T]]*$C$11</f>
        <v>499.90571481049801</v>
      </c>
      <c r="Q22" s="3" t="str">
        <f>Data_Solidification[[#This Row],[T / V]]</f>
        <v>Training</v>
      </c>
      <c r="R22" s="3">
        <f ca="1">ABS((Estimates_Solidification[[#This Row],[A_q predicted (b=0)]]-Estimates_Solidification[[#This Row],[A_q measured]])/Estimates_Solidification[[#This Row],[A_q measured]])*100</f>
        <v>9.5964679081082576</v>
      </c>
      <c r="V22" s="2"/>
    </row>
    <row r="23" spans="1:27" x14ac:dyDescent="0.3">
      <c r="A23" s="3" t="s">
        <v>8</v>
      </c>
      <c r="B23" s="3">
        <v>170</v>
      </c>
      <c r="C23" s="3" t="s">
        <v>9</v>
      </c>
      <c r="D23" s="3">
        <v>1</v>
      </c>
      <c r="E23" s="3">
        <v>2</v>
      </c>
      <c r="F23" s="3">
        <v>9.2355319538814236</v>
      </c>
      <c r="G23" s="3">
        <v>177.19746032724149</v>
      </c>
      <c r="H23" s="3">
        <v>19.186492040966908</v>
      </c>
      <c r="I23" s="3" t="str">
        <f>IF(ROWS($I$22:I23)&lt;=n_T,"Training","Validation")</f>
        <v>Training</v>
      </c>
      <c r="J23" s="3">
        <f t="shared" ca="1" si="0"/>
        <v>0.11048847424965136</v>
      </c>
      <c r="K23" s="52"/>
      <c r="L23" s="52"/>
      <c r="O23" s="3">
        <f>Data_Solidification[[#This Row],[A_q]]</f>
        <v>177.19746032724149</v>
      </c>
      <c r="P23" s="3">
        <f ca="1">Data_Solidification[[#This Row],[A_T]]*$C$11</f>
        <v>188.82831139679357</v>
      </c>
      <c r="Q23" s="3" t="str">
        <f>Data_Solidification[[#This Row],[T / V]]</f>
        <v>Training</v>
      </c>
      <c r="R23" s="3">
        <f ca="1">ABS((Estimates_Solidification[[#This Row],[A_q predicted (b=0)]]-Estimates_Solidification[[#This Row],[A_q measured]])/Estimates_Solidification[[#This Row],[A_q measured]])*100</f>
        <v>6.5637797788256496</v>
      </c>
    </row>
    <row r="24" spans="1:27" x14ac:dyDescent="0.3">
      <c r="A24" s="3" t="s">
        <v>37</v>
      </c>
      <c r="B24" s="3">
        <v>170</v>
      </c>
      <c r="C24" s="3" t="s">
        <v>9</v>
      </c>
      <c r="D24" s="3">
        <v>0.5</v>
      </c>
      <c r="E24" s="3">
        <v>3</v>
      </c>
      <c r="F24" s="3">
        <v>16.33920000000073</v>
      </c>
      <c r="G24" s="3">
        <v>353.55864367151293</v>
      </c>
      <c r="H24" s="3">
        <v>21.63867531283644</v>
      </c>
      <c r="I24" s="3" t="str">
        <f>IF(ROWS($I$22:I24)&lt;=n_T,"Training","Validation")</f>
        <v>Training</v>
      </c>
      <c r="J24" s="3">
        <f t="shared" ca="1" si="0"/>
        <v>0.32882015618075189</v>
      </c>
      <c r="K24" s="52"/>
      <c r="L24" s="52"/>
      <c r="O24" s="3">
        <f>Data_Solidification[[#This Row],[A_q]]</f>
        <v>353.55864367151293</v>
      </c>
      <c r="P24" s="3">
        <f ca="1">Data_Solidification[[#This Row],[A_T]]*$C$11</f>
        <v>334.06885071497851</v>
      </c>
      <c r="Q24" s="3" t="str">
        <f>Data_Solidification[[#This Row],[T / V]]</f>
        <v>Training</v>
      </c>
      <c r="R24" s="3">
        <f ca="1">ABS((Estimates_Solidification[[#This Row],[A_q predicted (b=0)]]-Estimates_Solidification[[#This Row],[A_q measured]])/Estimates_Solidification[[#This Row],[A_q measured]])*100</f>
        <v>5.5124640014860304</v>
      </c>
    </row>
    <row r="25" spans="1:27" x14ac:dyDescent="0.3">
      <c r="A25" s="3" t="s">
        <v>37</v>
      </c>
      <c r="B25" s="3">
        <v>170</v>
      </c>
      <c r="C25" s="3" t="s">
        <v>9</v>
      </c>
      <c r="D25" s="3">
        <v>1</v>
      </c>
      <c r="E25" s="3">
        <v>2</v>
      </c>
      <c r="F25" s="3">
        <v>20.233381415732683</v>
      </c>
      <c r="G25" s="3">
        <v>404.99093146994846</v>
      </c>
      <c r="H25" s="3">
        <v>20.015978701169711</v>
      </c>
      <c r="I25" s="3" t="str">
        <f>IF(ROWS($I$22:I25)&lt;=n_T,"Training","Validation")</f>
        <v>Training</v>
      </c>
      <c r="J25" s="3">
        <f t="shared" ca="1" si="0"/>
        <v>0.2418579839614976</v>
      </c>
      <c r="K25" s="52"/>
      <c r="L25" s="52"/>
      <c r="O25" s="3">
        <f>Data_Solidification[[#This Row],[A_q]]</f>
        <v>404.99093146994846</v>
      </c>
      <c r="P25" s="3">
        <f ca="1">Data_Solidification[[#This Row],[A_T]]*$C$11</f>
        <v>413.68870419796076</v>
      </c>
      <c r="Q25" s="3" t="str">
        <f>Data_Solidification[[#This Row],[T / V]]</f>
        <v>Training</v>
      </c>
      <c r="R25" s="3">
        <f ca="1">ABS((Estimates_Solidification[[#This Row],[A_q predicted (b=0)]]-Estimates_Solidification[[#This Row],[A_q measured]])/Estimates_Solidification[[#This Row],[A_q measured]])*100</f>
        <v>2.1476462933239029</v>
      </c>
    </row>
    <row r="26" spans="1:27" x14ac:dyDescent="0.3">
      <c r="A26" s="3" t="s">
        <v>11</v>
      </c>
      <c r="B26" s="3">
        <v>170</v>
      </c>
      <c r="C26" s="3" t="s">
        <v>9</v>
      </c>
      <c r="D26" s="3">
        <v>1</v>
      </c>
      <c r="E26" s="3">
        <v>3</v>
      </c>
      <c r="F26" s="3">
        <v>12.285332570093937</v>
      </c>
      <c r="G26" s="3">
        <v>256.57732728687955</v>
      </c>
      <c r="H26" s="3">
        <v>20.884849947934107</v>
      </c>
      <c r="I26" s="3" t="str">
        <f>IF(ROWS($I$22:I26)&lt;=n_T,"Training","Validation")</f>
        <v>Training</v>
      </c>
      <c r="J26" s="3">
        <f t="shared" ca="1" si="0"/>
        <v>0.52410841435554012</v>
      </c>
      <c r="K26" s="52"/>
      <c r="L26" s="52"/>
      <c r="O26" s="3">
        <f>Data_Solidification[[#This Row],[A_q]]</f>
        <v>256.57732728687955</v>
      </c>
      <c r="P26" s="3">
        <f ca="1">Data_Solidification[[#This Row],[A_T]]*$C$11</f>
        <v>251.18408075930225</v>
      </c>
      <c r="Q26" s="3" t="str">
        <f>Data_Solidification[[#This Row],[T / V]]</f>
        <v>Training</v>
      </c>
      <c r="R26" s="3">
        <f ca="1">ABS((Estimates_Solidification[[#This Row],[A_q predicted (b=0)]]-Estimates_Solidification[[#This Row],[A_q measured]])/Estimates_Solidification[[#This Row],[A_q measured]])*100</f>
        <v>2.1019965343808829</v>
      </c>
    </row>
    <row r="27" spans="1:27" x14ac:dyDescent="0.3">
      <c r="A27" s="3" t="s">
        <v>38</v>
      </c>
      <c r="B27" s="3">
        <v>230</v>
      </c>
      <c r="C27" s="3" t="s">
        <v>9</v>
      </c>
      <c r="D27" s="3">
        <v>1</v>
      </c>
      <c r="E27" s="3">
        <v>1</v>
      </c>
      <c r="F27" s="3">
        <v>26.190323511765527</v>
      </c>
      <c r="G27" s="3">
        <v>521.36237802390292</v>
      </c>
      <c r="H27" s="3">
        <v>19.906679571548263</v>
      </c>
      <c r="I27" s="3" t="str">
        <f>IF(ROWS($I$22:I27)&lt;=n_T,"Training","Validation")</f>
        <v>Training</v>
      </c>
      <c r="J27" s="3">
        <f t="shared" ca="1" si="0"/>
        <v>0.35397169365288694</v>
      </c>
      <c r="K27" s="52"/>
      <c r="L27" s="52"/>
      <c r="O27" s="3">
        <f>Data_Solidification[[#This Row],[A_q]]</f>
        <v>521.36237802390292</v>
      </c>
      <c r="P27" s="3">
        <f ca="1">Data_Solidification[[#This Row],[A_T]]*$C$11</f>
        <v>535.4834554585658</v>
      </c>
      <c r="Q27" s="3" t="str">
        <f>Data_Solidification[[#This Row],[T / V]]</f>
        <v>Training</v>
      </c>
      <c r="R27" s="3">
        <f ca="1">ABS((Estimates_Solidification[[#This Row],[A_q predicted (b=0)]]-Estimates_Solidification[[#This Row],[A_q measured]])/Estimates_Solidification[[#This Row],[A_q measured]])*100</f>
        <v>2.7084956701681056</v>
      </c>
    </row>
    <row r="28" spans="1:27" x14ac:dyDescent="0.3">
      <c r="A28" s="3" t="s">
        <v>11</v>
      </c>
      <c r="B28" s="3">
        <v>170</v>
      </c>
      <c r="C28" s="3" t="s">
        <v>9</v>
      </c>
      <c r="D28" s="3">
        <v>1</v>
      </c>
      <c r="E28" s="3">
        <v>2</v>
      </c>
      <c r="F28" s="3">
        <v>12.414593957682301</v>
      </c>
      <c r="G28" s="3">
        <v>251.89549266775174</v>
      </c>
      <c r="H28" s="3">
        <v>20.290272362220573</v>
      </c>
      <c r="I28" s="3" t="str">
        <f>IF(ROWS($I$22:I28)&lt;=n_T,"Training","Validation")</f>
        <v>Training</v>
      </c>
      <c r="J28" s="3">
        <f t="shared" ca="1" si="0"/>
        <v>0.9899038254757393</v>
      </c>
      <c r="K28" s="52"/>
      <c r="L28" s="52"/>
      <c r="O28" s="3">
        <f>Data_Solidification[[#This Row],[A_q]]</f>
        <v>251.89549266775174</v>
      </c>
      <c r="P28" s="3">
        <f ca="1">Data_Solidification[[#This Row],[A_T]]*$C$11</f>
        <v>253.82693984625061</v>
      </c>
      <c r="Q28" s="3" t="str">
        <f>Data_Solidification[[#This Row],[T / V]]</f>
        <v>Training</v>
      </c>
      <c r="R28" s="3">
        <f ca="1">ABS((Estimates_Solidification[[#This Row],[A_q predicted (b=0)]]-Estimates_Solidification[[#This Row],[A_q measured]])/Estimates_Solidification[[#This Row],[A_q measured]])*100</f>
        <v>0.76676527953854079</v>
      </c>
    </row>
    <row r="29" spans="1:27" x14ac:dyDescent="0.3">
      <c r="A29" s="3" t="s">
        <v>37</v>
      </c>
      <c r="B29" s="3">
        <v>170</v>
      </c>
      <c r="C29" s="3" t="s">
        <v>9</v>
      </c>
      <c r="D29" s="3">
        <v>1</v>
      </c>
      <c r="E29" s="3">
        <v>3</v>
      </c>
      <c r="F29" s="3">
        <v>21.178307900317577</v>
      </c>
      <c r="G29" s="3">
        <v>403.6620200942827</v>
      </c>
      <c r="H29" s="3">
        <v>19.060163918394522</v>
      </c>
      <c r="I29" s="3" t="str">
        <f>IF(ROWS($I$22:I29)&lt;=n_T,"Training","Validation")</f>
        <v>Training</v>
      </c>
      <c r="J29" s="3">
        <f t="shared" ca="1" si="0"/>
        <v>0.80803125589719982</v>
      </c>
      <c r="K29" s="52"/>
      <c r="L29" s="52"/>
      <c r="O29" s="3">
        <f>Data_Solidification[[#This Row],[A_q]]</f>
        <v>403.6620200942827</v>
      </c>
      <c r="P29" s="3">
        <f ca="1">Data_Solidification[[#This Row],[A_T]]*$C$11</f>
        <v>433.00853042662595</v>
      </c>
      <c r="Q29" s="3" t="str">
        <f>Data_Solidification[[#This Row],[T / V]]</f>
        <v>Training</v>
      </c>
      <c r="R29" s="3">
        <f ca="1">ABS((Estimates_Solidification[[#This Row],[A_q predicted (b=0)]]-Estimates_Solidification[[#This Row],[A_q measured]])/Estimates_Solidification[[#This Row],[A_q measured]])*100</f>
        <v>7.2700697294951944</v>
      </c>
    </row>
    <row r="30" spans="1:27" x14ac:dyDescent="0.3">
      <c r="A30" s="3" t="s">
        <v>12</v>
      </c>
      <c r="B30" s="3">
        <v>170</v>
      </c>
      <c r="C30" s="3" t="s">
        <v>9</v>
      </c>
      <c r="D30" s="3">
        <v>0.5</v>
      </c>
      <c r="E30" s="3">
        <v>2</v>
      </c>
      <c r="F30" s="3">
        <v>17.790648849835058</v>
      </c>
      <c r="G30" s="3">
        <v>369.31674307917132</v>
      </c>
      <c r="H30" s="3">
        <v>20.759037300800603</v>
      </c>
      <c r="I30" s="3" t="str">
        <f>IF(ROWS($I$22:I30)&lt;=n_T,"Training","Validation")</f>
        <v>Training</v>
      </c>
      <c r="J30" s="3">
        <f t="shared" ca="1" si="0"/>
        <v>0.2383443946802023</v>
      </c>
      <c r="K30" s="52"/>
      <c r="L30" s="52"/>
      <c r="O30" s="3">
        <f>Data_Solidification[[#This Row],[A_q]]</f>
        <v>369.31674307917132</v>
      </c>
      <c r="P30" s="3">
        <f ca="1">Data_Solidification[[#This Row],[A_T]]*$C$11</f>
        <v>363.74495781543078</v>
      </c>
      <c r="Q30" s="3" t="str">
        <f>Data_Solidification[[#This Row],[T / V]]</f>
        <v>Training</v>
      </c>
      <c r="R30" s="3">
        <f ca="1">ABS((Estimates_Solidification[[#This Row],[A_q predicted (b=0)]]-Estimates_Solidification[[#This Row],[A_q measured]])/Estimates_Solidification[[#This Row],[A_q measured]])*100</f>
        <v>1.5086738871587255</v>
      </c>
    </row>
    <row r="31" spans="1:27" x14ac:dyDescent="0.3">
      <c r="A31" s="3" t="s">
        <v>11</v>
      </c>
      <c r="B31" s="3">
        <v>170</v>
      </c>
      <c r="C31" s="3" t="s">
        <v>9</v>
      </c>
      <c r="D31" s="3">
        <v>1</v>
      </c>
      <c r="E31" s="3">
        <v>1</v>
      </c>
      <c r="F31" s="3">
        <v>11.990650156666428</v>
      </c>
      <c r="G31" s="3">
        <v>261.17692526275397</v>
      </c>
      <c r="H31" s="3">
        <v>21.781715073852585</v>
      </c>
      <c r="I31" s="3" t="str">
        <f>IF(ROWS($I$22:I31)&lt;=n_T,"Training","Validation")</f>
        <v>Training</v>
      </c>
      <c r="J31" s="3">
        <f t="shared" ca="1" si="0"/>
        <v>0.68675999135820587</v>
      </c>
      <c r="K31" s="52"/>
      <c r="L31" s="52"/>
      <c r="O31" s="3">
        <f>Data_Solidification[[#This Row],[A_q]]</f>
        <v>261.17692526275397</v>
      </c>
      <c r="P31" s="3">
        <f ca="1">Data_Solidification[[#This Row],[A_T]]*$C$11</f>
        <v>245.15904800496668</v>
      </c>
      <c r="Q31" s="3" t="str">
        <f>Data_Solidification[[#This Row],[T / V]]</f>
        <v>Training</v>
      </c>
      <c r="R31" s="3">
        <f ca="1">ABS((Estimates_Solidification[[#This Row],[A_q predicted (b=0)]]-Estimates_Solidification[[#This Row],[A_q measured]])/Estimates_Solidification[[#This Row],[A_q measured]])*100</f>
        <v>6.1329603454335384</v>
      </c>
    </row>
    <row r="32" spans="1:27" x14ac:dyDescent="0.3">
      <c r="A32" s="3" t="s">
        <v>8</v>
      </c>
      <c r="B32" s="3">
        <v>170</v>
      </c>
      <c r="C32" s="3" t="s">
        <v>9</v>
      </c>
      <c r="D32" s="3">
        <v>0.5</v>
      </c>
      <c r="E32" s="3">
        <v>2</v>
      </c>
      <c r="F32" s="3">
        <v>8.9898000000008071</v>
      </c>
      <c r="G32" s="3">
        <v>184.20239999999984</v>
      </c>
      <c r="H32" s="3">
        <v>20.490155509575661</v>
      </c>
      <c r="I32" s="3" t="str">
        <f>IF(ROWS($I$22:I32)&lt;=n_T,"Training","Validation")</f>
        <v>Training</v>
      </c>
      <c r="J32" s="3">
        <f t="shared" ca="1" si="0"/>
        <v>0.6629210029869953</v>
      </c>
      <c r="K32" s="52"/>
      <c r="L32" s="52"/>
      <c r="O32" s="3">
        <f>Data_Solidification[[#This Row],[A_q]]</f>
        <v>184.20239999999984</v>
      </c>
      <c r="P32" s="3">
        <f ca="1">Data_Solidification[[#This Row],[A_T]]*$C$11</f>
        <v>183.80411245089414</v>
      </c>
      <c r="Q32" s="3" t="str">
        <f>Data_Solidification[[#This Row],[T / V]]</f>
        <v>Training</v>
      </c>
      <c r="R32" s="3">
        <f ca="1">ABS((Estimates_Solidification[[#This Row],[A_q predicted (b=0)]]-Estimates_Solidification[[#This Row],[A_q measured]])/Estimates_Solidification[[#This Row],[A_q measured]])*100</f>
        <v>0.21622277945656698</v>
      </c>
    </row>
    <row r="33" spans="1:27" s="2" customFormat="1" x14ac:dyDescent="0.3">
      <c r="A33" s="3" t="s">
        <v>37</v>
      </c>
      <c r="B33" s="3">
        <v>170</v>
      </c>
      <c r="C33" s="3" t="s">
        <v>9</v>
      </c>
      <c r="D33" s="3">
        <v>0.5</v>
      </c>
      <c r="E33" s="3">
        <v>1</v>
      </c>
      <c r="F33" s="3">
        <v>19.795800000000789</v>
      </c>
      <c r="G33" s="3">
        <v>417.0263999999998</v>
      </c>
      <c r="H33" s="3">
        <v>21.066408025944046</v>
      </c>
      <c r="I33" s="3" t="str">
        <f>IF(ROWS($I$22:I33)&lt;=n_T,"Training","Validation")</f>
        <v>Training</v>
      </c>
      <c r="J33" s="3">
        <f t="shared" ca="1" si="0"/>
        <v>0.31151672393711716</v>
      </c>
      <c r="K33" s="52"/>
      <c r="L33" s="52"/>
      <c r="M33" s="8"/>
      <c r="N33" s="3"/>
      <c r="O33" s="3">
        <f>Data_Solidification[[#This Row],[A_q]]</f>
        <v>417.0263999999998</v>
      </c>
      <c r="P33" s="3">
        <f ca="1">Data_Solidification[[#This Row],[A_T]]*$C$11</f>
        <v>404.74197971648181</v>
      </c>
      <c r="Q33" s="3" t="str">
        <f>Data_Solidification[[#This Row],[T / V]]</f>
        <v>Training</v>
      </c>
      <c r="R33" s="3">
        <f ca="1">ABS((Estimates_Solidification[[#This Row],[A_q predicted (b=0)]]-Estimates_Solidification[[#This Row],[A_q measured]])/Estimates_Solidification[[#This Row],[A_q measured]])*100</f>
        <v>2.9457176532512079</v>
      </c>
      <c r="V33"/>
      <c r="W33"/>
      <c r="X33"/>
      <c r="Y33"/>
      <c r="Z33"/>
      <c r="AA33"/>
    </row>
    <row r="34" spans="1:27" s="2" customFormat="1" x14ac:dyDescent="0.3">
      <c r="A34" s="3" t="s">
        <v>11</v>
      </c>
      <c r="B34" s="3">
        <v>170</v>
      </c>
      <c r="C34" s="3" t="s">
        <v>9</v>
      </c>
      <c r="D34" s="3">
        <v>0.5</v>
      </c>
      <c r="E34" s="3">
        <v>1</v>
      </c>
      <c r="F34" s="3">
        <v>11.393531322500698</v>
      </c>
      <c r="G34" s="3">
        <v>236.18810812499981</v>
      </c>
      <c r="H34" s="3">
        <v>20.730017888181866</v>
      </c>
      <c r="I34" s="3" t="str">
        <f>IF(ROWS($I$22:I34)&lt;=n_T,"Training","Validation")</f>
        <v>Training</v>
      </c>
      <c r="J34" s="3">
        <f t="shared" ca="1" si="0"/>
        <v>0.59143801888180192</v>
      </c>
      <c r="K34" s="52"/>
      <c r="L34" s="52"/>
      <c r="M34" s="8"/>
      <c r="N34" s="3"/>
      <c r="O34" s="3">
        <f>Data_Solidification[[#This Row],[A_q]]</f>
        <v>236.18810812499981</v>
      </c>
      <c r="P34" s="3">
        <f ca="1">Data_Solidification[[#This Row],[A_T]]*$C$11</f>
        <v>232.95044521719223</v>
      </c>
      <c r="Q34" s="3" t="str">
        <f>Data_Solidification[[#This Row],[T / V]]</f>
        <v>Training</v>
      </c>
      <c r="R34" s="3">
        <f ca="1">ABS((Estimates_Solidification[[#This Row],[A_q predicted (b=0)]]-Estimates_Solidification[[#This Row],[A_q measured]])/Estimates_Solidification[[#This Row],[A_q measured]])*100</f>
        <v>1.3707984426100293</v>
      </c>
      <c r="V34"/>
      <c r="W34"/>
      <c r="X34"/>
      <c r="Y34"/>
      <c r="Z34"/>
      <c r="AA34"/>
    </row>
    <row r="35" spans="1:27" s="2" customFormat="1" x14ac:dyDescent="0.3">
      <c r="A35" s="3" t="s">
        <v>12</v>
      </c>
      <c r="B35" s="3">
        <v>170</v>
      </c>
      <c r="C35" s="3" t="s">
        <v>9</v>
      </c>
      <c r="D35" s="3">
        <v>0.5</v>
      </c>
      <c r="E35" s="3">
        <v>1</v>
      </c>
      <c r="F35" s="3">
        <v>14.747651848983457</v>
      </c>
      <c r="G35" s="3">
        <v>292.58543252599304</v>
      </c>
      <c r="H35" s="3">
        <v>19.839458886206398</v>
      </c>
      <c r="I35" s="3" t="str">
        <f>IF(ROWS($I$22:I35)&lt;=n_T,"Training","Validation")</f>
        <v>Training</v>
      </c>
      <c r="J35" s="3">
        <f t="shared" ca="1" si="0"/>
        <v>0.11079092560963444</v>
      </c>
      <c r="K35" s="52"/>
      <c r="L35" s="52"/>
      <c r="M35" s="8"/>
      <c r="N35" s="3"/>
      <c r="O35" s="3">
        <f>Data_Solidification[[#This Row],[A_q]]</f>
        <v>292.58543252599304</v>
      </c>
      <c r="P35" s="3">
        <f ca="1">Data_Solidification[[#This Row],[A_T]]*$C$11</f>
        <v>301.52829415970865</v>
      </c>
      <c r="Q35" s="3" t="str">
        <f>Data_Solidification[[#This Row],[T / V]]</f>
        <v>Training</v>
      </c>
      <c r="R35" s="3">
        <f ca="1">ABS((Estimates_Solidification[[#This Row],[A_q predicted (b=0)]]-Estimates_Solidification[[#This Row],[A_q measured]])/Estimates_Solidification[[#This Row],[A_q measured]])*100</f>
        <v>3.0564958605453234</v>
      </c>
      <c r="V35"/>
      <c r="W35"/>
      <c r="X35"/>
      <c r="Y35"/>
      <c r="Z35"/>
      <c r="AA35"/>
    </row>
    <row r="36" spans="1:27" s="2" customFormat="1" x14ac:dyDescent="0.3">
      <c r="A36" s="3" t="s">
        <v>12</v>
      </c>
      <c r="B36" s="3">
        <v>170</v>
      </c>
      <c r="C36" s="3" t="s">
        <v>9</v>
      </c>
      <c r="D36" s="3">
        <v>1</v>
      </c>
      <c r="E36" s="3">
        <v>2</v>
      </c>
      <c r="F36" s="3">
        <v>17.790648849835058</v>
      </c>
      <c r="G36" s="3">
        <v>369.31674307917132</v>
      </c>
      <c r="H36" s="3">
        <v>20.759037300800603</v>
      </c>
      <c r="I36" s="3" t="str">
        <f>IF(ROWS($I$22:I36)&lt;=n_T,"Training","Validation")</f>
        <v>Training</v>
      </c>
      <c r="J36" s="3">
        <f t="shared" ca="1" si="0"/>
        <v>0.67122249556985236</v>
      </c>
      <c r="K36" s="52"/>
      <c r="L36" s="52"/>
      <c r="M36" s="8"/>
      <c r="N36" s="3"/>
      <c r="O36" s="3">
        <f>Data_Solidification[[#This Row],[A_q]]</f>
        <v>369.31674307917132</v>
      </c>
      <c r="P36" s="3">
        <f ca="1">Data_Solidification[[#This Row],[A_T]]*$C$11</f>
        <v>363.74495781543078</v>
      </c>
      <c r="Q36" s="3" t="str">
        <f>Data_Solidification[[#This Row],[T / V]]</f>
        <v>Training</v>
      </c>
      <c r="R36" s="3">
        <f ca="1">ABS((Estimates_Solidification[[#This Row],[A_q predicted (b=0)]]-Estimates_Solidification[[#This Row],[A_q measured]])/Estimates_Solidification[[#This Row],[A_q measured]])*100</f>
        <v>1.5086738871587255</v>
      </c>
      <c r="V36"/>
      <c r="W36"/>
      <c r="X36"/>
      <c r="Y36"/>
      <c r="Z36"/>
      <c r="AA36"/>
    </row>
    <row r="37" spans="1:27" s="2" customFormat="1" x14ac:dyDescent="0.3">
      <c r="A37" s="3" t="s">
        <v>8</v>
      </c>
      <c r="B37" s="3">
        <v>170</v>
      </c>
      <c r="C37" s="3" t="s">
        <v>9</v>
      </c>
      <c r="D37" s="3">
        <v>1</v>
      </c>
      <c r="E37" s="3">
        <v>1</v>
      </c>
      <c r="F37" s="3">
        <v>6.9743999999999957</v>
      </c>
      <c r="G37" s="3">
        <v>169.83240000000001</v>
      </c>
      <c r="H37" s="3">
        <v>24.350825877494856</v>
      </c>
      <c r="I37" s="3" t="str">
        <f>IF(ROWS($I$22:I37)&lt;=n_T,"Training","Validation")</f>
        <v>Training</v>
      </c>
      <c r="J37" s="3">
        <f t="shared" ca="1" si="0"/>
        <v>0.25163703337004228</v>
      </c>
      <c r="K37" s="52"/>
      <c r="L37" s="52"/>
      <c r="M37" s="8"/>
      <c r="N37" s="3"/>
      <c r="O37" s="3">
        <f>Data_Solidification[[#This Row],[A_q]]</f>
        <v>169.83240000000001</v>
      </c>
      <c r="P37" s="3">
        <f ca="1">Data_Solidification[[#This Row],[A_T]]*$C$11</f>
        <v>142.59754409190418</v>
      </c>
      <c r="Q37" s="3" t="str">
        <f>Data_Solidification[[#This Row],[T / V]]</f>
        <v>Training</v>
      </c>
      <c r="R37" s="3">
        <f ca="1">ABS((Estimates_Solidification[[#This Row],[A_q predicted (b=0)]]-Estimates_Solidification[[#This Row],[A_q measured]])/Estimates_Solidification[[#This Row],[A_q measured]])*100</f>
        <v>16.0363133937316</v>
      </c>
      <c r="V37"/>
      <c r="W37"/>
      <c r="X37"/>
      <c r="Y37"/>
      <c r="Z37"/>
      <c r="AA37"/>
    </row>
    <row r="38" spans="1:27" s="2" customFormat="1" x14ac:dyDescent="0.3">
      <c r="A38" s="3" t="s">
        <v>38</v>
      </c>
      <c r="B38" s="3">
        <v>230</v>
      </c>
      <c r="C38" s="3" t="s">
        <v>9</v>
      </c>
      <c r="D38" s="3">
        <v>1</v>
      </c>
      <c r="E38" s="3">
        <v>2</v>
      </c>
      <c r="F38" s="3">
        <v>27.339335607030389</v>
      </c>
      <c r="G38" s="3">
        <v>517.33538910520599</v>
      </c>
      <c r="H38" s="3">
        <v>18.922749131188528</v>
      </c>
      <c r="I38" s="3" t="str">
        <f>IF(ROWS($I$22:I38)&lt;=n_T,"Training","Validation")</f>
        <v>Training</v>
      </c>
      <c r="J38" s="3">
        <f t="shared" ca="1" si="0"/>
        <v>0.72998813335583645</v>
      </c>
      <c r="K38" s="52"/>
      <c r="L38" s="52"/>
      <c r="M38" s="8"/>
      <c r="N38" s="3"/>
      <c r="O38" s="3">
        <f>Data_Solidification[[#This Row],[A_q]]</f>
        <v>517.33538910520599</v>
      </c>
      <c r="P38" s="3">
        <f ca="1">Data_Solidification[[#This Row],[A_T]]*$C$11</f>
        <v>558.9759857001153</v>
      </c>
      <c r="Q38" s="3" t="str">
        <f>Data_Solidification[[#This Row],[T / V]]</f>
        <v>Training</v>
      </c>
      <c r="R38" s="3">
        <f ca="1">ABS((Estimates_Solidification[[#This Row],[A_q predicted (b=0)]]-Estimates_Solidification[[#This Row],[A_q measured]])/Estimates_Solidification[[#This Row],[A_q measured]])*100</f>
        <v>8.0490524081354167</v>
      </c>
      <c r="V38"/>
      <c r="W38"/>
      <c r="X38"/>
      <c r="Y38"/>
      <c r="Z38"/>
      <c r="AA38"/>
    </row>
    <row r="39" spans="1:27" s="2" customFormat="1" x14ac:dyDescent="0.3">
      <c r="A39" s="3" t="s">
        <v>12</v>
      </c>
      <c r="B39" s="3">
        <v>170</v>
      </c>
      <c r="C39" s="3" t="s">
        <v>9</v>
      </c>
      <c r="D39" s="3">
        <v>0.5</v>
      </c>
      <c r="E39" s="3">
        <v>3</v>
      </c>
      <c r="F39" s="3">
        <v>15.972408843058197</v>
      </c>
      <c r="G39" s="3">
        <v>309.82490270263128</v>
      </c>
      <c r="H39" s="3">
        <v>19.397506396618752</v>
      </c>
      <c r="I39" s="3" t="str">
        <f>IF(ROWS($I$22:I39)&lt;=n_T,"Training","Validation")</f>
        <v>Training</v>
      </c>
      <c r="J39" s="3">
        <f t="shared" ca="1" si="0"/>
        <v>0.29955167937326854</v>
      </c>
      <c r="K39" s="52"/>
      <c r="L39" s="52"/>
      <c r="M39" s="8"/>
      <c r="N39" s="3"/>
      <c r="O39" s="3">
        <f>Data_Solidification[[#This Row],[A_q]]</f>
        <v>309.82490270263128</v>
      </c>
      <c r="P39" s="3">
        <f ca="1">Data_Solidification[[#This Row],[A_T]]*$C$11</f>
        <v>326.56949332586498</v>
      </c>
      <c r="Q39" s="3" t="str">
        <f>Data_Solidification[[#This Row],[T / V]]</f>
        <v>Training</v>
      </c>
      <c r="R39" s="3">
        <f ca="1">ABS((Estimates_Solidification[[#This Row],[A_q predicted (b=0)]]-Estimates_Solidification[[#This Row],[A_q measured]])/Estimates_Solidification[[#This Row],[A_q measured]])*100</f>
        <v>5.4045334888090313</v>
      </c>
      <c r="V39"/>
      <c r="W39"/>
      <c r="X39"/>
      <c r="Y39"/>
      <c r="Z39"/>
      <c r="AA39"/>
    </row>
    <row r="40" spans="1:27" s="2" customFormat="1" x14ac:dyDescent="0.3">
      <c r="A40" s="3" t="s">
        <v>8</v>
      </c>
      <c r="B40" s="3">
        <v>170</v>
      </c>
      <c r="C40" s="3" t="s">
        <v>9</v>
      </c>
      <c r="D40" s="3">
        <v>0.5</v>
      </c>
      <c r="E40" s="3">
        <v>3</v>
      </c>
      <c r="F40" s="3">
        <v>7.7242423058830347</v>
      </c>
      <c r="G40" s="3">
        <v>178.55986063999981</v>
      </c>
      <c r="H40" s="3">
        <v>23.116812441785104</v>
      </c>
      <c r="I40" s="3" t="str">
        <f>IF(ROWS($I$22:I40)&lt;=n_T,"Training","Validation")</f>
        <v>Training</v>
      </c>
      <c r="J40" s="3">
        <f t="shared" ca="1" si="0"/>
        <v>0.60426590987901585</v>
      </c>
      <c r="K40" s="52"/>
      <c r="L40" s="52"/>
      <c r="M40" s="8"/>
      <c r="N40" s="3"/>
      <c r="O40" s="3">
        <f>Data_Solidification[[#This Row],[A_q]]</f>
        <v>178.55986063999981</v>
      </c>
      <c r="P40" s="3">
        <f ca="1">Data_Solidification[[#This Row],[A_T]]*$C$11</f>
        <v>157.92870824582877</v>
      </c>
      <c r="Q40" s="3" t="str">
        <f>Data_Solidification[[#This Row],[T / V]]</f>
        <v>Training</v>
      </c>
      <c r="R40" s="3">
        <f ca="1">ABS((Estimates_Solidification[[#This Row],[A_q predicted (b=0)]]-Estimates_Solidification[[#This Row],[A_q measured]])/Estimates_Solidification[[#This Row],[A_q measured]])*100</f>
        <v>11.5541938262184</v>
      </c>
      <c r="V40"/>
      <c r="W40"/>
      <c r="X40"/>
      <c r="Y40"/>
      <c r="Z40"/>
      <c r="AA40"/>
    </row>
    <row r="41" spans="1:27" s="2" customFormat="1" x14ac:dyDescent="0.3">
      <c r="A41" s="3" t="s">
        <v>38</v>
      </c>
      <c r="B41" s="3">
        <v>230</v>
      </c>
      <c r="C41" s="3" t="s">
        <v>9</v>
      </c>
      <c r="D41" s="3">
        <v>1</v>
      </c>
      <c r="E41" s="3">
        <v>3</v>
      </c>
      <c r="F41" s="3">
        <v>25.152330906320181</v>
      </c>
      <c r="G41" s="3">
        <v>531.35713106848095</v>
      </c>
      <c r="H41" s="3">
        <v>21.125562201273503</v>
      </c>
      <c r="I41" s="3" t="str">
        <f>IF(ROWS($I$22:I41)&lt;=n_T,"Training","Validation")</f>
        <v>Training</v>
      </c>
      <c r="J41" s="3">
        <f t="shared" ca="1" si="0"/>
        <v>0.25125989131360871</v>
      </c>
      <c r="K41" s="52"/>
      <c r="L41" s="52"/>
      <c r="M41" s="8"/>
      <c r="N41" s="3"/>
      <c r="O41" s="3">
        <f>Data_Solidification[[#This Row],[A_q]]</f>
        <v>531.35713106848095</v>
      </c>
      <c r="P41" s="3">
        <f ca="1">Data_Solidification[[#This Row],[A_T]]*$C$11</f>
        <v>514.26081317793046</v>
      </c>
      <c r="Q41" s="3" t="str">
        <f>Data_Solidification[[#This Row],[T / V]]</f>
        <v>Training</v>
      </c>
      <c r="R41" s="3">
        <f ca="1">ABS((Estimates_Solidification[[#This Row],[A_q predicted (b=0)]]-Estimates_Solidification[[#This Row],[A_q measured]])/Estimates_Solidification[[#This Row],[A_q measured]])*100</f>
        <v>3.217481594002948</v>
      </c>
      <c r="V41"/>
      <c r="W41"/>
      <c r="X41"/>
      <c r="Y41"/>
      <c r="Z41"/>
      <c r="AA41"/>
    </row>
    <row r="42" spans="1:27" s="2" customFormat="1" x14ac:dyDescent="0.3">
      <c r="A42" s="3" t="s">
        <v>8</v>
      </c>
      <c r="B42" s="3">
        <v>170</v>
      </c>
      <c r="C42" s="3" t="s">
        <v>9</v>
      </c>
      <c r="D42" s="3">
        <v>1</v>
      </c>
      <c r="E42" s="3">
        <v>3</v>
      </c>
      <c r="F42" s="3">
        <v>11.346010588618963</v>
      </c>
      <c r="G42" s="3">
        <v>205.62869365733505</v>
      </c>
      <c r="H42" s="3">
        <v>18.123435726703669</v>
      </c>
      <c r="I42" s="3" t="str">
        <f>IF(ROWS($I$22:I42)&lt;=n_T,"Training","Validation")</f>
        <v>Training</v>
      </c>
      <c r="J42" s="3">
        <f t="shared" ca="1" si="0"/>
        <v>0.16442123959666333</v>
      </c>
      <c r="K42" s="52"/>
      <c r="L42" s="52"/>
      <c r="M42" s="8"/>
      <c r="N42" s="3"/>
      <c r="O42" s="3">
        <f>Data_Solidification[[#This Row],[A_q]]</f>
        <v>205.62869365733505</v>
      </c>
      <c r="P42" s="3">
        <f ca="1">Data_Solidification[[#This Row],[A_T]]*$C$11</f>
        <v>231.97884336685667</v>
      </c>
      <c r="Q42" s="3" t="str">
        <f>Data_Solidification[[#This Row],[T / V]]</f>
        <v>Training</v>
      </c>
      <c r="R42" s="3">
        <f ca="1">ABS((Estimates_Solidification[[#This Row],[A_q predicted (b=0)]]-Estimates_Solidification[[#This Row],[A_q measured]])/Estimates_Solidification[[#This Row],[A_q measured]])*100</f>
        <v>12.814432286105063</v>
      </c>
      <c r="V42"/>
      <c r="W42"/>
      <c r="X42"/>
      <c r="Y42"/>
      <c r="Z42"/>
      <c r="AA42"/>
    </row>
    <row r="43" spans="1:27" s="2" customFormat="1" x14ac:dyDescent="0.3">
      <c r="A43" s="3" t="s">
        <v>38</v>
      </c>
      <c r="B43" s="3">
        <v>230</v>
      </c>
      <c r="C43" s="3" t="s">
        <v>9</v>
      </c>
      <c r="D43" s="3">
        <v>0.5</v>
      </c>
      <c r="E43" s="3">
        <v>1</v>
      </c>
      <c r="F43" s="3">
        <v>25.133748384813632</v>
      </c>
      <c r="G43" s="3">
        <v>559.05236689916728</v>
      </c>
      <c r="H43" s="3">
        <v>22.243095551834166</v>
      </c>
      <c r="I43" s="3" t="str">
        <f>IF(ROWS($I$22:I43)&lt;=n_T,"Training","Validation")</f>
        <v>Validation</v>
      </c>
      <c r="J43" s="3">
        <f t="shared" ca="1" si="0"/>
        <v>0.25986555732562044</v>
      </c>
      <c r="K43" s="52"/>
      <c r="L43" s="52"/>
      <c r="M43" s="8"/>
      <c r="N43" s="3"/>
      <c r="O43" s="3">
        <f>Data_Solidification[[#This Row],[A_q]]</f>
        <v>559.05236689916728</v>
      </c>
      <c r="P43" s="3">
        <f ca="1">Data_Solidification[[#This Row],[A_T]]*$C$11</f>
        <v>513.88087770966524</v>
      </c>
      <c r="Q43" s="3" t="str">
        <f>Data_Solidification[[#This Row],[T / V]]</f>
        <v>Validation</v>
      </c>
      <c r="R43" s="3">
        <f ca="1">ABS((Estimates_Solidification[[#This Row],[A_q predicted (b=0)]]-Estimates_Solidification[[#This Row],[A_q measured]])/Estimates_Solidification[[#This Row],[A_q measured]])*100</f>
        <v>8.0800103646908141</v>
      </c>
      <c r="V43"/>
      <c r="W43"/>
      <c r="X43"/>
      <c r="Y43"/>
      <c r="Z43"/>
      <c r="AA43"/>
    </row>
    <row r="44" spans="1:27" s="2" customFormat="1" x14ac:dyDescent="0.3">
      <c r="A44" s="3" t="s">
        <v>11</v>
      </c>
      <c r="B44" s="3">
        <v>170</v>
      </c>
      <c r="C44" s="3" t="s">
        <v>9</v>
      </c>
      <c r="D44" s="3">
        <v>0.5</v>
      </c>
      <c r="E44" s="3">
        <v>3</v>
      </c>
      <c r="F44" s="3">
        <v>14.158822452174912</v>
      </c>
      <c r="G44" s="3">
        <v>270.25498746086953</v>
      </c>
      <c r="H44" s="3">
        <v>19.087391509691273</v>
      </c>
      <c r="I44" s="3" t="str">
        <f>IF(ROWS($I$22:I44)&lt;=n_T,"Training","Validation")</f>
        <v>Validation</v>
      </c>
      <c r="J44" s="3">
        <f t="shared" ca="1" si="0"/>
        <v>0.3627592397373226</v>
      </c>
      <c r="K44" s="52"/>
      <c r="L44" s="52"/>
      <c r="M44" s="8"/>
      <c r="N44" s="3"/>
      <c r="O44" s="3">
        <f>Data_Solidification[[#This Row],[A_q]]</f>
        <v>270.25498746086953</v>
      </c>
      <c r="P44" s="3">
        <f ca="1">Data_Solidification[[#This Row],[A_T]]*$C$11</f>
        <v>289.48917597405597</v>
      </c>
      <c r="Q44" s="3" t="str">
        <f>Data_Solidification[[#This Row],[T / V]]</f>
        <v>Validation</v>
      </c>
      <c r="R44" s="3">
        <f ca="1">ABS((Estimates_Solidification[[#This Row],[A_q predicted (b=0)]]-Estimates_Solidification[[#This Row],[A_q measured]])/Estimates_Solidification[[#This Row],[A_q measured]])*100</f>
        <v>7.1170521935220066</v>
      </c>
      <c r="V44"/>
      <c r="W44"/>
      <c r="X44"/>
      <c r="Y44"/>
      <c r="Z44"/>
      <c r="AA44"/>
    </row>
    <row r="45" spans="1:27" s="2" customFormat="1" x14ac:dyDescent="0.3">
      <c r="A45" s="3" t="s">
        <v>38</v>
      </c>
      <c r="B45" s="3">
        <v>230</v>
      </c>
      <c r="C45" s="3" t="s">
        <v>9</v>
      </c>
      <c r="D45" s="3">
        <v>0.5</v>
      </c>
      <c r="E45" s="3">
        <v>2</v>
      </c>
      <c r="F45" s="3">
        <v>23.56542752499842</v>
      </c>
      <c r="G45" s="3">
        <v>527.0688230324987</v>
      </c>
      <c r="H45" s="3">
        <v>22.366189727446248</v>
      </c>
      <c r="I45" s="3" t="str">
        <f>IF(ROWS($I$22:I45)&lt;=n_T,"Training","Validation")</f>
        <v>Validation</v>
      </c>
      <c r="J45" s="3">
        <f t="shared" ca="1" si="0"/>
        <v>0.96688430978873585</v>
      </c>
      <c r="K45" s="52"/>
      <c r="L45" s="52"/>
      <c r="M45" s="8"/>
      <c r="N45" s="3"/>
      <c r="O45" s="3">
        <f>Data_Solidification[[#This Row],[A_q]]</f>
        <v>527.0688230324987</v>
      </c>
      <c r="P45" s="3">
        <f ca="1">Data_Solidification[[#This Row],[A_T]]*$C$11</f>
        <v>481.81522289236869</v>
      </c>
      <c r="Q45" s="3" t="str">
        <f>Data_Solidification[[#This Row],[T / V]]</f>
        <v>Validation</v>
      </c>
      <c r="R45" s="3">
        <f ca="1">ABS((Estimates_Solidification[[#This Row],[A_q predicted (b=0)]]-Estimates_Solidification[[#This Row],[A_q measured]])/Estimates_Solidification[[#This Row],[A_q measured]])*100</f>
        <v>8.5858996325684203</v>
      </c>
      <c r="V45"/>
      <c r="W45"/>
      <c r="X45"/>
      <c r="Y45"/>
      <c r="Z45"/>
      <c r="AA45"/>
    </row>
    <row r="46" spans="1:27" s="2" customFormat="1" x14ac:dyDescent="0.3">
      <c r="A46" s="3" t="s">
        <v>11</v>
      </c>
      <c r="B46" s="3">
        <v>170</v>
      </c>
      <c r="C46" s="3" t="s">
        <v>9</v>
      </c>
      <c r="D46" s="3">
        <v>0.5</v>
      </c>
      <c r="E46" s="3">
        <v>2</v>
      </c>
      <c r="F46" s="3">
        <v>11.776659612500808</v>
      </c>
      <c r="G46" s="3">
        <v>233.47361453749977</v>
      </c>
      <c r="H46" s="3">
        <v>19.825113590756231</v>
      </c>
      <c r="I46" s="3" t="str">
        <f>IF(ROWS($I$22:I46)&lt;=n_T,"Training","Validation")</f>
        <v>Validation</v>
      </c>
      <c r="J46" s="3">
        <f t="shared" ca="1" si="0"/>
        <v>0.77423749784829377</v>
      </c>
      <c r="K46" s="52"/>
      <c r="L46" s="52"/>
      <c r="M46" s="8"/>
      <c r="N46" s="3"/>
      <c r="O46" s="3">
        <f>Data_Solidification[[#This Row],[A_q]]</f>
        <v>233.47361453749977</v>
      </c>
      <c r="P46" s="3">
        <f ca="1">Data_Solidification[[#This Row],[A_T]]*$C$11</f>
        <v>240.78382919662366</v>
      </c>
      <c r="Q46" s="3" t="str">
        <f>Data_Solidification[[#This Row],[T / V]]</f>
        <v>Validation</v>
      </c>
      <c r="R46" s="3">
        <f ca="1">ABS((Estimates_Solidification[[#This Row],[A_q predicted (b=0)]]-Estimates_Solidification[[#This Row],[A_q measured]])/Estimates_Solidification[[#This Row],[A_q measured]])*100</f>
        <v>3.1310667261502236</v>
      </c>
      <c r="V46"/>
      <c r="W46"/>
      <c r="X46"/>
      <c r="Y46"/>
      <c r="Z46"/>
      <c r="AA46"/>
    </row>
    <row r="47" spans="1:27" s="2" customFormat="1" x14ac:dyDescent="0.3">
      <c r="A47" s="3" t="s">
        <v>12</v>
      </c>
      <c r="B47" s="3">
        <v>170</v>
      </c>
      <c r="C47" s="3" t="s">
        <v>9</v>
      </c>
      <c r="D47" s="3">
        <v>1</v>
      </c>
      <c r="E47" s="3">
        <v>3</v>
      </c>
      <c r="F47" s="3">
        <v>17.283599999999968</v>
      </c>
      <c r="G47" s="3">
        <v>360.78210000000007</v>
      </c>
      <c r="H47" s="3">
        <v>20.874244948969007</v>
      </c>
      <c r="I47" s="3" t="str">
        <f>IF(ROWS($I$22:I47)&lt;=n_T,"Training","Validation")</f>
        <v>Validation</v>
      </c>
      <c r="J47" s="3">
        <f t="shared" ca="1" si="0"/>
        <v>0.66112817451219663</v>
      </c>
      <c r="K47" s="52"/>
      <c r="L47" s="52"/>
      <c r="M47" s="8"/>
      <c r="N47" s="3"/>
      <c r="O47" s="3">
        <f>Data_Solidification[[#This Row],[A_q]]</f>
        <v>360.78210000000007</v>
      </c>
      <c r="P47" s="3">
        <f ca="1">Data_Solidification[[#This Row],[A_T]]*$C$11</f>
        <v>353.37791251818533</v>
      </c>
      <c r="Q47" s="3" t="str">
        <f>Data_Solidification[[#This Row],[T / V]]</f>
        <v>Validation</v>
      </c>
      <c r="R47" s="3">
        <f ca="1">ABS((Estimates_Solidification[[#This Row],[A_q predicted (b=0)]]-Estimates_Solidification[[#This Row],[A_q measured]])/Estimates_Solidification[[#This Row],[A_q measured]])*100</f>
        <v>2.0522602096430904</v>
      </c>
      <c r="V47"/>
      <c r="W47"/>
      <c r="X47"/>
      <c r="Y47"/>
      <c r="Z47"/>
      <c r="AA47"/>
    </row>
    <row r="48" spans="1:27" s="2" customFormat="1" x14ac:dyDescent="0.3">
      <c r="A48" s="3" t="s">
        <v>37</v>
      </c>
      <c r="B48" s="3">
        <v>170</v>
      </c>
      <c r="C48" s="3" t="s">
        <v>9</v>
      </c>
      <c r="D48" s="3">
        <v>0.5</v>
      </c>
      <c r="E48" s="3">
        <v>2</v>
      </c>
      <c r="F48" s="3">
        <v>18.948021681361002</v>
      </c>
      <c r="G48" s="3">
        <v>412.39364114077745</v>
      </c>
      <c r="H48" s="3">
        <v>21.764469561824775</v>
      </c>
      <c r="I48" s="3" t="str">
        <f>IF(ROWS($I$22:I48)&lt;=n_T,"Training","Validation")</f>
        <v>Validation</v>
      </c>
      <c r="J48" s="3">
        <f t="shared" ca="1" si="0"/>
        <v>0.40511748614090592</v>
      </c>
      <c r="K48" s="52"/>
      <c r="L48" s="52"/>
      <c r="M48" s="8"/>
      <c r="N48" s="3"/>
      <c r="O48" s="3">
        <f>Data_Solidification[[#This Row],[A_q]]</f>
        <v>412.39364114077745</v>
      </c>
      <c r="P48" s="3">
        <f ca="1">Data_Solidification[[#This Row],[A_T]]*$C$11</f>
        <v>387.40843042587653</v>
      </c>
      <c r="Q48" s="3" t="str">
        <f>Data_Solidification[[#This Row],[T / V]]</f>
        <v>Validation</v>
      </c>
      <c r="R48" s="3">
        <f ca="1">ABS((Estimates_Solidification[[#This Row],[A_q predicted (b=0)]]-Estimates_Solidification[[#This Row],[A_q measured]])/Estimates_Solidification[[#This Row],[A_q measured]])*100</f>
        <v>6.0585829223229455</v>
      </c>
      <c r="V48"/>
      <c r="W48"/>
      <c r="X48"/>
      <c r="Y48"/>
      <c r="Z48"/>
      <c r="AA48"/>
    </row>
    <row r="49" spans="1:27" s="2" customFormat="1" x14ac:dyDescent="0.3">
      <c r="A49" s="3" t="s">
        <v>37</v>
      </c>
      <c r="B49" s="3">
        <v>170</v>
      </c>
      <c r="C49" s="3" t="s">
        <v>9</v>
      </c>
      <c r="D49" s="3">
        <v>1</v>
      </c>
      <c r="E49" s="3">
        <v>1</v>
      </c>
      <c r="F49" s="3">
        <v>20.136299999999675</v>
      </c>
      <c r="G49" s="3">
        <v>422.07809643010341</v>
      </c>
      <c r="H49" s="3">
        <v>20.961055230112297</v>
      </c>
      <c r="I49" s="3" t="str">
        <f>IF(ROWS($I$22:I49)&lt;=n_T,"Training","Validation")</f>
        <v>Validation</v>
      </c>
      <c r="J49" s="3">
        <f t="shared" ca="1" si="0"/>
        <v>0.42491621834262694</v>
      </c>
      <c r="K49" s="52"/>
      <c r="L49" s="52"/>
      <c r="M49" s="8"/>
      <c r="N49" s="3"/>
      <c r="O49" s="3">
        <f>Data_Solidification[[#This Row],[A_q]]</f>
        <v>422.07809643010341</v>
      </c>
      <c r="P49" s="3">
        <f ca="1">Data_Solidification[[#This Row],[A_T]]*$C$11</f>
        <v>411.70379202480007</v>
      </c>
      <c r="Q49" s="3" t="str">
        <f>Data_Solidification[[#This Row],[T / V]]</f>
        <v>Validation</v>
      </c>
      <c r="R49" s="3">
        <f ca="1">ABS((Estimates_Solidification[[#This Row],[A_q predicted (b=0)]]-Estimates_Solidification[[#This Row],[A_q measured]])/Estimates_Solidification[[#This Row],[A_q measured]])*100</f>
        <v>2.4579111053258234</v>
      </c>
      <c r="V49"/>
      <c r="W49"/>
      <c r="X49"/>
      <c r="Y49"/>
      <c r="Z49"/>
      <c r="AA49"/>
    </row>
    <row r="50" spans="1:27" s="2" customFormat="1" x14ac:dyDescent="0.3">
      <c r="A50" s="3" t="s">
        <v>12</v>
      </c>
      <c r="B50" s="3">
        <v>170</v>
      </c>
      <c r="C50" s="3" t="s">
        <v>9</v>
      </c>
      <c r="D50" s="3">
        <v>1</v>
      </c>
      <c r="E50" s="3">
        <v>1</v>
      </c>
      <c r="F50" s="3">
        <v>19.086000000000098</v>
      </c>
      <c r="G50" s="3">
        <v>387.39479999999998</v>
      </c>
      <c r="H50" s="3">
        <v>20.297327884313002</v>
      </c>
      <c r="I50" s="3" t="str">
        <f>IF(ROWS($I$22:I50)&lt;=n_T,"Training","Validation")</f>
        <v>Validation</v>
      </c>
      <c r="J50" s="3">
        <f t="shared" ca="1" si="0"/>
        <v>0.74824796405065674</v>
      </c>
      <c r="K50" s="52"/>
      <c r="L50" s="52"/>
      <c r="M50" s="8"/>
      <c r="N50" s="3"/>
      <c r="O50" s="3">
        <f>Data_Solidification[[#This Row],[A_q]]</f>
        <v>387.39479999999998</v>
      </c>
      <c r="P50" s="3">
        <f ca="1">Data_Solidification[[#This Row],[A_T]]*$C$11</f>
        <v>390.22951458736219</v>
      </c>
      <c r="Q50" s="3" t="str">
        <f>Data_Solidification[[#This Row],[T / V]]</f>
        <v>Validation</v>
      </c>
      <c r="R50" s="3">
        <f ca="1">ABS((Estimates_Solidification[[#This Row],[A_q predicted (b=0)]]-Estimates_Solidification[[#This Row],[A_q measured]])/Estimates_Solidification[[#This Row],[A_q measured]])*100</f>
        <v>0.73173790339008526</v>
      </c>
      <c r="V50"/>
      <c r="W50"/>
      <c r="X50"/>
      <c r="Y50"/>
      <c r="Z50"/>
      <c r="AA50"/>
    </row>
    <row r="51" spans="1:27" s="2" customFormat="1" x14ac:dyDescent="0.3">
      <c r="A51" s="3" t="s">
        <v>8</v>
      </c>
      <c r="B51" s="3">
        <v>170</v>
      </c>
      <c r="C51" s="3" t="s">
        <v>9</v>
      </c>
      <c r="D51" s="3">
        <v>0.5</v>
      </c>
      <c r="E51" s="3">
        <v>1</v>
      </c>
      <c r="F51" s="3">
        <v>9.9350536485328842</v>
      </c>
      <c r="G51" s="3">
        <v>186.1133247973641</v>
      </c>
      <c r="H51" s="3">
        <v>18.732996456928802</v>
      </c>
      <c r="I51" s="3" t="str">
        <f>IF(ROWS($I$22:I51)&lt;=n_T,"Training","Validation")</f>
        <v>Validation</v>
      </c>
      <c r="J51" s="3">
        <f t="shared" ca="1" si="0"/>
        <v>0.82891761214544268</v>
      </c>
      <c r="K51" s="52"/>
      <c r="L51" s="52"/>
      <c r="M51" s="8"/>
      <c r="N51" s="3"/>
      <c r="O51" s="3">
        <f>Data_Solidification[[#This Row],[A_q]]</f>
        <v>186.1133247973641</v>
      </c>
      <c r="P51" s="3">
        <f ca="1">Data_Solidification[[#This Row],[A_T]]*$C$11</f>
        <v>203.13062782491716</v>
      </c>
      <c r="Q51" s="3" t="str">
        <f>Data_Solidification[[#This Row],[T / V]]</f>
        <v>Validation</v>
      </c>
      <c r="R51" s="3">
        <f ca="1">ABS((Estimates_Solidification[[#This Row],[A_q predicted (b=0)]]-Estimates_Solidification[[#This Row],[A_q measured]])/Estimates_Solidification[[#This Row],[A_q measured]])*100</f>
        <v>9.1435167503890984</v>
      </c>
      <c r="V51"/>
      <c r="W51"/>
      <c r="X51"/>
      <c r="Y51"/>
      <c r="Z51"/>
      <c r="AA51"/>
    </row>
    <row r="52" spans="1:27" s="2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52"/>
      <c r="L52" s="52"/>
      <c r="M52" s="8"/>
      <c r="N52" s="3"/>
      <c r="O52" s="3"/>
      <c r="P52" s="3"/>
      <c r="Q52" s="3"/>
      <c r="R52" s="3"/>
      <c r="V52"/>
      <c r="W52"/>
      <c r="X52"/>
      <c r="Y52"/>
      <c r="Z52"/>
      <c r="AA52"/>
    </row>
    <row r="53" spans="1:27" s="2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52"/>
      <c r="L53" s="52"/>
      <c r="M53" s="8"/>
      <c r="N53" s="3"/>
      <c r="O53" s="3"/>
      <c r="P53" s="3"/>
      <c r="Q53" s="3"/>
      <c r="R53" s="3"/>
      <c r="V53"/>
      <c r="W53"/>
      <c r="X53"/>
      <c r="Y53"/>
      <c r="Z53"/>
      <c r="AA53"/>
    </row>
    <row r="54" spans="1:27" s="2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52"/>
      <c r="L54" s="52"/>
      <c r="M54" s="8"/>
      <c r="N54" s="3"/>
      <c r="O54" s="3"/>
      <c r="P54" s="3"/>
      <c r="Q54" s="3"/>
      <c r="R54" s="3"/>
      <c r="V54"/>
      <c r="W54"/>
      <c r="X54"/>
      <c r="Y54"/>
      <c r="Z54"/>
      <c r="AA54"/>
    </row>
    <row r="55" spans="1:27" s="2" customFormat="1" x14ac:dyDescent="0.3">
      <c r="A55" s="55" t="str" cm="1">
        <f t="array" aca="1" ref="A55:J75" ca="1">_xlfn._xlws.FILTER(Data_Solidification[],Data_Solidification[T / V]="Training")</f>
        <v>RT18</v>
      </c>
      <c r="B55" s="65">
        <f ca="1"/>
        <v>230</v>
      </c>
      <c r="C55" s="65" t="str">
        <f ca="1"/>
        <v>Solidification</v>
      </c>
      <c r="D55" s="65">
        <f ca="1"/>
        <v>0.5</v>
      </c>
      <c r="E55" s="65">
        <f ca="1"/>
        <v>3</v>
      </c>
      <c r="F55" s="65">
        <f ca="1"/>
        <v>24.450227664</v>
      </c>
      <c r="G55" s="65">
        <f ca="1"/>
        <v>552.97144175999995</v>
      </c>
      <c r="H55" s="65">
        <f ca="1"/>
        <v>22.6162083</v>
      </c>
      <c r="I55" s="65" t="str">
        <f ca="1"/>
        <v>Training</v>
      </c>
      <c r="J55" s="66">
        <f ca="1"/>
        <v>0.87123136620261954</v>
      </c>
      <c r="K55" s="21">
        <f t="shared" ref="K55:K75" ca="1" si="1">G55-$C$11*F55</f>
        <v>53.065726949501936</v>
      </c>
      <c r="L55" s="21">
        <f t="shared" ref="L55:L75" ca="1" si="2">G55-AVERAGE($G$55:$G$76)</f>
        <v>221.32540249584463</v>
      </c>
      <c r="M55" s="54"/>
      <c r="N55" s="53"/>
      <c r="O55" s="55" cm="1">
        <f t="array" aca="1" ref="O55:R75" ca="1">_xlfn._xlws.FILTER(Estimates_Solidification[],Estimates_Solidification[T / V]="Training")</f>
        <v>552.97144175999995</v>
      </c>
      <c r="P55" s="65">
        <f ca="1"/>
        <v>499.90571481049801</v>
      </c>
      <c r="Q55" s="65" t="str">
        <f ca="1"/>
        <v>Training</v>
      </c>
      <c r="R55" s="66">
        <f ca="1"/>
        <v>9.5964679081082576</v>
      </c>
      <c r="V55"/>
      <c r="W55"/>
      <c r="X55"/>
      <c r="Y55"/>
      <c r="Z55"/>
      <c r="AA55"/>
    </row>
    <row r="56" spans="1:27" s="2" customFormat="1" x14ac:dyDescent="0.3">
      <c r="A56" s="67" t="str">
        <f ca="1"/>
        <v>RT8</v>
      </c>
      <c r="B56" s="53">
        <f ca="1"/>
        <v>170</v>
      </c>
      <c r="C56" s="53" t="str">
        <f ca="1"/>
        <v>Solidification</v>
      </c>
      <c r="D56" s="53">
        <f ca="1"/>
        <v>1</v>
      </c>
      <c r="E56" s="53">
        <f ca="1"/>
        <v>2</v>
      </c>
      <c r="F56" s="53">
        <f ca="1"/>
        <v>9.2355319538814236</v>
      </c>
      <c r="G56" s="53">
        <f ca="1"/>
        <v>177.19746032724149</v>
      </c>
      <c r="H56" s="53">
        <f ca="1"/>
        <v>19.186492040966908</v>
      </c>
      <c r="I56" s="53" t="str">
        <f ca="1"/>
        <v>Training</v>
      </c>
      <c r="J56" s="68">
        <f ca="1"/>
        <v>0.11048847424965136</v>
      </c>
      <c r="K56" s="21">
        <f t="shared" ca="1" si="1"/>
        <v>-11.630851069552079</v>
      </c>
      <c r="L56" s="21">
        <f t="shared" ca="1" si="2"/>
        <v>-154.44857893691383</v>
      </c>
      <c r="M56" s="54"/>
      <c r="N56" s="53"/>
      <c r="O56" s="67">
        <f ca="1"/>
        <v>177.19746032724149</v>
      </c>
      <c r="P56" s="53">
        <f ca="1"/>
        <v>188.82831139679357</v>
      </c>
      <c r="Q56" s="53" t="str">
        <f ca="1"/>
        <v>Training</v>
      </c>
      <c r="R56" s="68">
        <f ca="1"/>
        <v>6.5637797788256496</v>
      </c>
      <c r="V56"/>
      <c r="W56"/>
      <c r="X56"/>
      <c r="Y56"/>
      <c r="Z56"/>
      <c r="AA56"/>
    </row>
    <row r="57" spans="1:27" s="2" customFormat="1" x14ac:dyDescent="0.3">
      <c r="A57" s="67" t="str">
        <f ca="1"/>
        <v>RT8 (15mm)</v>
      </c>
      <c r="B57" s="53">
        <f ca="1"/>
        <v>170</v>
      </c>
      <c r="C57" s="53" t="str">
        <f ca="1"/>
        <v>Solidification</v>
      </c>
      <c r="D57" s="53">
        <f ca="1"/>
        <v>0.5</v>
      </c>
      <c r="E57" s="53">
        <f ca="1"/>
        <v>3</v>
      </c>
      <c r="F57" s="53">
        <f ca="1"/>
        <v>16.33920000000073</v>
      </c>
      <c r="G57" s="53">
        <f ca="1"/>
        <v>353.55864367151293</v>
      </c>
      <c r="H57" s="53">
        <f ca="1"/>
        <v>21.63867531283644</v>
      </c>
      <c r="I57" s="53" t="str">
        <f ca="1"/>
        <v>Training</v>
      </c>
      <c r="J57" s="68">
        <f ca="1"/>
        <v>0.32882015618075189</v>
      </c>
      <c r="K57" s="21">
        <f t="shared" ca="1" si="1"/>
        <v>19.489792956534416</v>
      </c>
      <c r="L57" s="21">
        <f t="shared" ca="1" si="2"/>
        <v>21.912604407357605</v>
      </c>
      <c r="M57" s="54"/>
      <c r="N57" s="53"/>
      <c r="O57" s="67">
        <f ca="1"/>
        <v>353.55864367151293</v>
      </c>
      <c r="P57" s="53">
        <f ca="1"/>
        <v>334.06885071497851</v>
      </c>
      <c r="Q57" s="53" t="str">
        <f ca="1"/>
        <v>Training</v>
      </c>
      <c r="R57" s="68">
        <f ca="1"/>
        <v>5.5124640014860304</v>
      </c>
      <c r="V57"/>
      <c r="W57"/>
      <c r="X57"/>
      <c r="Y57"/>
      <c r="Z57"/>
      <c r="AA57"/>
    </row>
    <row r="58" spans="1:27" s="2" customFormat="1" x14ac:dyDescent="0.3">
      <c r="A58" s="67" t="str">
        <f ca="1"/>
        <v>RT8 (15mm)</v>
      </c>
      <c r="B58" s="53">
        <f ca="1"/>
        <v>170</v>
      </c>
      <c r="C58" s="53" t="str">
        <f ca="1"/>
        <v>Solidification</v>
      </c>
      <c r="D58" s="53">
        <f ca="1"/>
        <v>1</v>
      </c>
      <c r="E58" s="53">
        <f ca="1"/>
        <v>2</v>
      </c>
      <c r="F58" s="53">
        <f ca="1"/>
        <v>20.233381415732683</v>
      </c>
      <c r="G58" s="53">
        <f ca="1"/>
        <v>404.99093146994846</v>
      </c>
      <c r="H58" s="53">
        <f ca="1"/>
        <v>20.015978701169711</v>
      </c>
      <c r="I58" s="53" t="str">
        <f ca="1"/>
        <v>Training</v>
      </c>
      <c r="J58" s="68">
        <f ca="1"/>
        <v>0.2418579839614976</v>
      </c>
      <c r="K58" s="21">
        <f t="shared" ca="1" si="1"/>
        <v>-8.6977727280122963</v>
      </c>
      <c r="L58" s="21">
        <f t="shared" ca="1" si="2"/>
        <v>73.344892205793144</v>
      </c>
      <c r="M58" s="54"/>
      <c r="N58" s="53"/>
      <c r="O58" s="67">
        <f ca="1"/>
        <v>404.99093146994846</v>
      </c>
      <c r="P58" s="53">
        <f ca="1"/>
        <v>413.68870419796076</v>
      </c>
      <c r="Q58" s="53" t="str">
        <f ca="1"/>
        <v>Training</v>
      </c>
      <c r="R58" s="68">
        <f ca="1"/>
        <v>2.1476462933239029</v>
      </c>
      <c r="V58"/>
      <c r="W58"/>
      <c r="X58"/>
      <c r="Y58"/>
      <c r="Z58"/>
      <c r="AA58"/>
    </row>
    <row r="59" spans="1:27" s="2" customFormat="1" x14ac:dyDescent="0.3">
      <c r="A59" s="67" t="str">
        <f ca="1"/>
        <v>RT11</v>
      </c>
      <c r="B59" s="53">
        <f ca="1"/>
        <v>170</v>
      </c>
      <c r="C59" s="53" t="str">
        <f ca="1"/>
        <v>Solidification</v>
      </c>
      <c r="D59" s="53">
        <f ca="1"/>
        <v>1</v>
      </c>
      <c r="E59" s="53">
        <f ca="1"/>
        <v>3</v>
      </c>
      <c r="F59" s="53">
        <f ca="1"/>
        <v>12.285332570093937</v>
      </c>
      <c r="G59" s="53">
        <f ca="1"/>
        <v>256.57732728687955</v>
      </c>
      <c r="H59" s="53">
        <f ca="1"/>
        <v>20.884849947934107</v>
      </c>
      <c r="I59" s="53" t="str">
        <f ca="1"/>
        <v>Training</v>
      </c>
      <c r="J59" s="68">
        <f ca="1"/>
        <v>0.52410841435554012</v>
      </c>
      <c r="K59" s="21">
        <f t="shared" ca="1" si="1"/>
        <v>5.3932465275773041</v>
      </c>
      <c r="L59" s="21">
        <f t="shared" ca="1" si="2"/>
        <v>-75.068711977275768</v>
      </c>
      <c r="M59" s="54"/>
      <c r="N59" s="53"/>
      <c r="O59" s="67">
        <f ca="1"/>
        <v>256.57732728687955</v>
      </c>
      <c r="P59" s="53">
        <f ca="1"/>
        <v>251.18408075930225</v>
      </c>
      <c r="Q59" s="53" t="str">
        <f ca="1"/>
        <v>Training</v>
      </c>
      <c r="R59" s="68">
        <f ca="1"/>
        <v>2.1019965343808829</v>
      </c>
      <c r="V59"/>
      <c r="W59"/>
      <c r="X59"/>
      <c r="Y59"/>
      <c r="Z59"/>
      <c r="AA59"/>
    </row>
    <row r="60" spans="1:27" s="2" customFormat="1" x14ac:dyDescent="0.3">
      <c r="A60" s="67" t="str">
        <f ca="1"/>
        <v>RT18</v>
      </c>
      <c r="B60" s="53">
        <f ca="1"/>
        <v>230</v>
      </c>
      <c r="C60" s="53" t="str">
        <f ca="1"/>
        <v>Solidification</v>
      </c>
      <c r="D60" s="53">
        <f ca="1"/>
        <v>1</v>
      </c>
      <c r="E60" s="53">
        <f ca="1"/>
        <v>1</v>
      </c>
      <c r="F60" s="53">
        <f ca="1"/>
        <v>26.190323511765527</v>
      </c>
      <c r="G60" s="53">
        <f ca="1"/>
        <v>521.36237802390292</v>
      </c>
      <c r="H60" s="53">
        <f ca="1"/>
        <v>19.906679571548263</v>
      </c>
      <c r="I60" s="53" t="str">
        <f ca="1"/>
        <v>Training</v>
      </c>
      <c r="J60" s="68">
        <f ca="1"/>
        <v>0.35397169365288694</v>
      </c>
      <c r="K60" s="21">
        <f t="shared" ca="1" si="1"/>
        <v>-14.12107743466288</v>
      </c>
      <c r="L60" s="21">
        <f t="shared" ca="1" si="2"/>
        <v>189.7163387597476</v>
      </c>
      <c r="M60" s="54"/>
      <c r="N60" s="53"/>
      <c r="O60" s="67">
        <f ca="1"/>
        <v>521.36237802390292</v>
      </c>
      <c r="P60" s="53">
        <f ca="1"/>
        <v>535.4834554585658</v>
      </c>
      <c r="Q60" s="53" t="str">
        <f ca="1"/>
        <v>Training</v>
      </c>
      <c r="R60" s="68">
        <f ca="1"/>
        <v>2.7084956701681056</v>
      </c>
      <c r="V60"/>
      <c r="W60"/>
      <c r="X60"/>
      <c r="Y60"/>
      <c r="Z60"/>
      <c r="AA60"/>
    </row>
    <row r="61" spans="1:27" s="2" customFormat="1" x14ac:dyDescent="0.3">
      <c r="A61" s="67" t="str">
        <f ca="1"/>
        <v>RT11</v>
      </c>
      <c r="B61" s="53">
        <f ca="1"/>
        <v>170</v>
      </c>
      <c r="C61" s="53" t="str">
        <f ca="1"/>
        <v>Solidification</v>
      </c>
      <c r="D61" s="53">
        <f ca="1"/>
        <v>1</v>
      </c>
      <c r="E61" s="53">
        <f ca="1"/>
        <v>2</v>
      </c>
      <c r="F61" s="53">
        <f ca="1"/>
        <v>12.414593957682301</v>
      </c>
      <c r="G61" s="53">
        <f ca="1"/>
        <v>251.89549266775174</v>
      </c>
      <c r="H61" s="53">
        <f ca="1"/>
        <v>20.290272362220573</v>
      </c>
      <c r="I61" s="53" t="str">
        <f ca="1"/>
        <v>Training</v>
      </c>
      <c r="J61" s="68">
        <f ca="1"/>
        <v>0.9899038254757393</v>
      </c>
      <c r="K61" s="21">
        <f t="shared" ca="1" si="1"/>
        <v>-1.9314471784988712</v>
      </c>
      <c r="L61" s="21">
        <f t="shared" ca="1" si="2"/>
        <v>-79.750546596403581</v>
      </c>
      <c r="M61" s="54"/>
      <c r="N61" s="53"/>
      <c r="O61" s="67">
        <f ca="1"/>
        <v>251.89549266775174</v>
      </c>
      <c r="P61" s="53">
        <f ca="1"/>
        <v>253.82693984625061</v>
      </c>
      <c r="Q61" s="53" t="str">
        <f ca="1"/>
        <v>Training</v>
      </c>
      <c r="R61" s="68">
        <f ca="1"/>
        <v>0.76676527953854079</v>
      </c>
      <c r="V61"/>
      <c r="W61"/>
      <c r="X61"/>
      <c r="Y61"/>
      <c r="Z61"/>
      <c r="AA61"/>
    </row>
    <row r="62" spans="1:27" s="2" customFormat="1" x14ac:dyDescent="0.3">
      <c r="A62" s="67" t="str">
        <f ca="1"/>
        <v>RT8 (15mm)</v>
      </c>
      <c r="B62" s="53">
        <f ca="1"/>
        <v>170</v>
      </c>
      <c r="C62" s="53" t="str">
        <f ca="1"/>
        <v>Solidification</v>
      </c>
      <c r="D62" s="53">
        <f ca="1"/>
        <v>1</v>
      </c>
      <c r="E62" s="53">
        <f ca="1"/>
        <v>3</v>
      </c>
      <c r="F62" s="53">
        <f ca="1"/>
        <v>21.178307900317577</v>
      </c>
      <c r="G62" s="53">
        <f ca="1"/>
        <v>403.6620200942827</v>
      </c>
      <c r="H62" s="53">
        <f ca="1"/>
        <v>19.060163918394522</v>
      </c>
      <c r="I62" s="53" t="str">
        <f ca="1"/>
        <v>Training</v>
      </c>
      <c r="J62" s="68">
        <f ca="1"/>
        <v>0.80803125589719982</v>
      </c>
      <c r="K62" s="21">
        <f t="shared" ca="1" si="1"/>
        <v>-29.346510332343257</v>
      </c>
      <c r="L62" s="21">
        <f t="shared" ca="1" si="2"/>
        <v>72.015980830127376</v>
      </c>
      <c r="M62" s="54"/>
      <c r="N62" s="53"/>
      <c r="O62" s="67">
        <f ca="1"/>
        <v>403.6620200942827</v>
      </c>
      <c r="P62" s="53">
        <f ca="1"/>
        <v>433.00853042662595</v>
      </c>
      <c r="Q62" s="53" t="str">
        <f ca="1"/>
        <v>Training</v>
      </c>
      <c r="R62" s="68">
        <f ca="1"/>
        <v>7.2700697294951944</v>
      </c>
      <c r="V62"/>
      <c r="W62"/>
      <c r="X62"/>
      <c r="Y62"/>
      <c r="Z62"/>
      <c r="AA62"/>
    </row>
    <row r="63" spans="1:27" s="2" customFormat="1" x14ac:dyDescent="0.3">
      <c r="A63" s="67" t="str">
        <f ca="1"/>
        <v>RT24</v>
      </c>
      <c r="B63" s="53">
        <f ca="1"/>
        <v>170</v>
      </c>
      <c r="C63" s="53" t="str">
        <f ca="1"/>
        <v>Solidification</v>
      </c>
      <c r="D63" s="53">
        <f ca="1"/>
        <v>0.5</v>
      </c>
      <c r="E63" s="53">
        <f ca="1"/>
        <v>2</v>
      </c>
      <c r="F63" s="53">
        <f ca="1"/>
        <v>17.790648849835058</v>
      </c>
      <c r="G63" s="53">
        <f ca="1"/>
        <v>369.31674307917132</v>
      </c>
      <c r="H63" s="53">
        <f ca="1"/>
        <v>20.759037300800603</v>
      </c>
      <c r="I63" s="53" t="str">
        <f ca="1"/>
        <v>Training</v>
      </c>
      <c r="J63" s="68">
        <f ca="1"/>
        <v>0.2383443946802023</v>
      </c>
      <c r="K63" s="21">
        <f t="shared" ca="1" si="1"/>
        <v>5.5717852637405372</v>
      </c>
      <c r="L63" s="21">
        <f t="shared" ca="1" si="2"/>
        <v>37.670703815015997</v>
      </c>
      <c r="M63" s="54"/>
      <c r="N63" s="53"/>
      <c r="O63" s="67">
        <f ca="1"/>
        <v>369.31674307917132</v>
      </c>
      <c r="P63" s="53">
        <f ca="1"/>
        <v>363.74495781543078</v>
      </c>
      <c r="Q63" s="53" t="str">
        <f ca="1"/>
        <v>Training</v>
      </c>
      <c r="R63" s="68">
        <f ca="1"/>
        <v>1.5086738871587255</v>
      </c>
      <c r="V63"/>
      <c r="W63"/>
      <c r="X63"/>
      <c r="Y63"/>
      <c r="Z63"/>
      <c r="AA63"/>
    </row>
    <row r="64" spans="1:27" s="2" customFormat="1" x14ac:dyDescent="0.3">
      <c r="A64" s="67" t="str">
        <f ca="1"/>
        <v>RT11</v>
      </c>
      <c r="B64" s="53">
        <f ca="1"/>
        <v>170</v>
      </c>
      <c r="C64" s="53" t="str">
        <f ca="1"/>
        <v>Solidification</v>
      </c>
      <c r="D64" s="53">
        <f ca="1"/>
        <v>1</v>
      </c>
      <c r="E64" s="53">
        <f ca="1"/>
        <v>1</v>
      </c>
      <c r="F64" s="53">
        <f ca="1"/>
        <v>11.990650156666428</v>
      </c>
      <c r="G64" s="53">
        <f ca="1"/>
        <v>261.17692526275397</v>
      </c>
      <c r="H64" s="53">
        <f ca="1"/>
        <v>21.781715073852585</v>
      </c>
      <c r="I64" s="53" t="str">
        <f ca="1"/>
        <v>Training</v>
      </c>
      <c r="J64" s="68">
        <f ca="1"/>
        <v>0.68675999135820587</v>
      </c>
      <c r="K64" s="21">
        <f t="shared" ca="1" si="1"/>
        <v>16.017877257787291</v>
      </c>
      <c r="L64" s="21">
        <f t="shared" ca="1" si="2"/>
        <v>-70.469114001401351</v>
      </c>
      <c r="M64" s="54"/>
      <c r="N64" s="53"/>
      <c r="O64" s="67">
        <f ca="1"/>
        <v>261.17692526275397</v>
      </c>
      <c r="P64" s="53">
        <f ca="1"/>
        <v>245.15904800496668</v>
      </c>
      <c r="Q64" s="53" t="str">
        <f ca="1"/>
        <v>Training</v>
      </c>
      <c r="R64" s="68">
        <f ca="1"/>
        <v>6.1329603454335384</v>
      </c>
      <c r="V64"/>
      <c r="W64"/>
      <c r="X64"/>
      <c r="Y64"/>
      <c r="Z64"/>
      <c r="AA64"/>
    </row>
    <row r="65" spans="1:27" s="2" customFormat="1" x14ac:dyDescent="0.3">
      <c r="A65" s="67" t="str">
        <f ca="1"/>
        <v>RT8</v>
      </c>
      <c r="B65" s="53">
        <f ca="1"/>
        <v>170</v>
      </c>
      <c r="C65" s="53" t="str">
        <f ca="1"/>
        <v>Solidification</v>
      </c>
      <c r="D65" s="53">
        <f ca="1"/>
        <v>0.5</v>
      </c>
      <c r="E65" s="53">
        <f ca="1"/>
        <v>2</v>
      </c>
      <c r="F65" s="53">
        <f ca="1"/>
        <v>8.9898000000008071</v>
      </c>
      <c r="G65" s="53">
        <f ca="1"/>
        <v>184.20239999999984</v>
      </c>
      <c r="H65" s="53">
        <f ca="1"/>
        <v>20.490155509575661</v>
      </c>
      <c r="I65" s="53" t="str">
        <f ca="1"/>
        <v>Training</v>
      </c>
      <c r="J65" s="68">
        <f ca="1"/>
        <v>0.6629210029869953</v>
      </c>
      <c r="K65" s="21">
        <f t="shared" ca="1" si="1"/>
        <v>0.39828754910570296</v>
      </c>
      <c r="L65" s="21">
        <f t="shared" ca="1" si="2"/>
        <v>-147.44363926415548</v>
      </c>
      <c r="M65" s="54"/>
      <c r="N65" s="53"/>
      <c r="O65" s="67">
        <f ca="1"/>
        <v>184.20239999999984</v>
      </c>
      <c r="P65" s="53">
        <f ca="1"/>
        <v>183.80411245089414</v>
      </c>
      <c r="Q65" s="53" t="str">
        <f ca="1"/>
        <v>Training</v>
      </c>
      <c r="R65" s="68">
        <f ca="1"/>
        <v>0.21622277945656698</v>
      </c>
      <c r="V65"/>
      <c r="W65"/>
      <c r="X65"/>
      <c r="Y65"/>
      <c r="Z65"/>
      <c r="AA65"/>
    </row>
    <row r="66" spans="1:27" s="2" customFormat="1" x14ac:dyDescent="0.3">
      <c r="A66" s="67" t="str">
        <f ca="1"/>
        <v>RT8 (15mm)</v>
      </c>
      <c r="B66" s="53">
        <f ca="1"/>
        <v>170</v>
      </c>
      <c r="C66" s="53" t="str">
        <f ca="1"/>
        <v>Solidification</v>
      </c>
      <c r="D66" s="53">
        <f ca="1"/>
        <v>0.5</v>
      </c>
      <c r="E66" s="53">
        <f ca="1"/>
        <v>1</v>
      </c>
      <c r="F66" s="53">
        <f ca="1"/>
        <v>19.795800000000789</v>
      </c>
      <c r="G66" s="53">
        <f ca="1"/>
        <v>417.0263999999998</v>
      </c>
      <c r="H66" s="53">
        <f ca="1"/>
        <v>21.066408025944046</v>
      </c>
      <c r="I66" s="53" t="str">
        <f ca="1"/>
        <v>Training</v>
      </c>
      <c r="J66" s="68">
        <f ca="1"/>
        <v>0.31151672393711716</v>
      </c>
      <c r="K66" s="21">
        <f t="shared" ca="1" si="1"/>
        <v>12.284420283517989</v>
      </c>
      <c r="L66" s="21">
        <f t="shared" ca="1" si="2"/>
        <v>85.380360735844476</v>
      </c>
      <c r="M66" s="54"/>
      <c r="N66" s="53"/>
      <c r="O66" s="67">
        <f ca="1"/>
        <v>417.0263999999998</v>
      </c>
      <c r="P66" s="53">
        <f ca="1"/>
        <v>404.74197971648181</v>
      </c>
      <c r="Q66" s="53" t="str">
        <f ca="1"/>
        <v>Training</v>
      </c>
      <c r="R66" s="68">
        <f ca="1"/>
        <v>2.9457176532512079</v>
      </c>
      <c r="V66"/>
      <c r="W66"/>
      <c r="X66"/>
      <c r="Y66"/>
      <c r="Z66"/>
      <c r="AA66"/>
    </row>
    <row r="67" spans="1:27" s="2" customFormat="1" x14ac:dyDescent="0.3">
      <c r="A67" s="67" t="str">
        <f ca="1"/>
        <v>RT11</v>
      </c>
      <c r="B67" s="53">
        <f ca="1"/>
        <v>170</v>
      </c>
      <c r="C67" s="53" t="str">
        <f ca="1"/>
        <v>Solidification</v>
      </c>
      <c r="D67" s="53">
        <f ca="1"/>
        <v>0.5</v>
      </c>
      <c r="E67" s="53">
        <f ca="1"/>
        <v>1</v>
      </c>
      <c r="F67" s="53">
        <f ca="1"/>
        <v>11.393531322500698</v>
      </c>
      <c r="G67" s="53">
        <f ca="1"/>
        <v>236.18810812499981</v>
      </c>
      <c r="H67" s="53">
        <f ca="1"/>
        <v>20.730017888181866</v>
      </c>
      <c r="I67" s="53" t="str">
        <f ca="1"/>
        <v>Training</v>
      </c>
      <c r="J67" s="68">
        <f ca="1"/>
        <v>0.59143801888180192</v>
      </c>
      <c r="K67" s="21">
        <f t="shared" ca="1" si="1"/>
        <v>3.2376629078075894</v>
      </c>
      <c r="L67" s="21">
        <f t="shared" ca="1" si="2"/>
        <v>-95.457931139155505</v>
      </c>
      <c r="M67" s="54"/>
      <c r="N67" s="53"/>
      <c r="O67" s="67">
        <f ca="1"/>
        <v>236.18810812499981</v>
      </c>
      <c r="P67" s="53">
        <f ca="1"/>
        <v>232.95044521719223</v>
      </c>
      <c r="Q67" s="53" t="str">
        <f ca="1"/>
        <v>Training</v>
      </c>
      <c r="R67" s="68">
        <f ca="1"/>
        <v>1.3707984426100293</v>
      </c>
      <c r="V67"/>
      <c r="W67"/>
      <c r="X67"/>
      <c r="Y67"/>
      <c r="Z67"/>
      <c r="AA67"/>
    </row>
    <row r="68" spans="1:27" s="2" customFormat="1" x14ac:dyDescent="0.3">
      <c r="A68" s="67" t="str">
        <f ca="1"/>
        <v>RT24</v>
      </c>
      <c r="B68" s="53">
        <f ca="1"/>
        <v>170</v>
      </c>
      <c r="C68" s="53" t="str">
        <f ca="1"/>
        <v>Solidification</v>
      </c>
      <c r="D68" s="53">
        <f ca="1"/>
        <v>0.5</v>
      </c>
      <c r="E68" s="53">
        <f ca="1"/>
        <v>1</v>
      </c>
      <c r="F68" s="53">
        <f ca="1"/>
        <v>14.747651848983457</v>
      </c>
      <c r="G68" s="53">
        <f ca="1"/>
        <v>292.58543252599304</v>
      </c>
      <c r="H68" s="53">
        <f ca="1"/>
        <v>19.839458886206398</v>
      </c>
      <c r="I68" s="53" t="str">
        <f ca="1"/>
        <v>Training</v>
      </c>
      <c r="J68" s="68">
        <f ca="1"/>
        <v>0.11079092560963444</v>
      </c>
      <c r="K68" s="21">
        <f t="shared" ca="1" si="1"/>
        <v>-8.9428616337156086</v>
      </c>
      <c r="L68" s="21">
        <f t="shared" ca="1" si="2"/>
        <v>-39.060606738162278</v>
      </c>
      <c r="M68" s="54"/>
      <c r="N68" s="53"/>
      <c r="O68" s="67">
        <f ca="1"/>
        <v>292.58543252599304</v>
      </c>
      <c r="P68" s="53">
        <f ca="1"/>
        <v>301.52829415970865</v>
      </c>
      <c r="Q68" s="53" t="str">
        <f ca="1"/>
        <v>Training</v>
      </c>
      <c r="R68" s="68">
        <f ca="1"/>
        <v>3.0564958605453234</v>
      </c>
      <c r="V68"/>
      <c r="W68"/>
      <c r="X68"/>
      <c r="Y68"/>
      <c r="Z68"/>
      <c r="AA68"/>
    </row>
    <row r="69" spans="1:27" s="2" customFormat="1" x14ac:dyDescent="0.3">
      <c r="A69" s="67" t="str">
        <f ca="1"/>
        <v>RT24</v>
      </c>
      <c r="B69" s="53">
        <f ca="1"/>
        <v>170</v>
      </c>
      <c r="C69" s="53" t="str">
        <f ca="1"/>
        <v>Solidification</v>
      </c>
      <c r="D69" s="53">
        <f ca="1"/>
        <v>1</v>
      </c>
      <c r="E69" s="53">
        <f ca="1"/>
        <v>2</v>
      </c>
      <c r="F69" s="53">
        <f ca="1"/>
        <v>17.790648849835058</v>
      </c>
      <c r="G69" s="53">
        <f ca="1"/>
        <v>369.31674307917132</v>
      </c>
      <c r="H69" s="53">
        <f ca="1"/>
        <v>20.759037300800603</v>
      </c>
      <c r="I69" s="53" t="str">
        <f ca="1"/>
        <v>Training</v>
      </c>
      <c r="J69" s="68">
        <f ca="1"/>
        <v>0.67122249556985236</v>
      </c>
      <c r="K69" s="21">
        <f t="shared" ca="1" si="1"/>
        <v>5.5717852637405372</v>
      </c>
      <c r="L69" s="21">
        <f t="shared" ca="1" si="2"/>
        <v>37.670703815015997</v>
      </c>
      <c r="M69" s="54"/>
      <c r="N69" s="53"/>
      <c r="O69" s="67">
        <f ca="1"/>
        <v>369.31674307917132</v>
      </c>
      <c r="P69" s="53">
        <f ca="1"/>
        <v>363.74495781543078</v>
      </c>
      <c r="Q69" s="53" t="str">
        <f ca="1"/>
        <v>Training</v>
      </c>
      <c r="R69" s="68">
        <f ca="1"/>
        <v>1.5086738871587255</v>
      </c>
      <c r="V69"/>
      <c r="W69"/>
      <c r="X69"/>
      <c r="Y69"/>
      <c r="Z69"/>
      <c r="AA69"/>
    </row>
    <row r="70" spans="1:27" s="2" customFormat="1" x14ac:dyDescent="0.3">
      <c r="A70" s="67" t="str">
        <f ca="1"/>
        <v>RT8</v>
      </c>
      <c r="B70" s="53">
        <f ca="1"/>
        <v>170</v>
      </c>
      <c r="C70" s="53" t="str">
        <f ca="1"/>
        <v>Solidification</v>
      </c>
      <c r="D70" s="53">
        <f ca="1"/>
        <v>1</v>
      </c>
      <c r="E70" s="53">
        <f ca="1"/>
        <v>1</v>
      </c>
      <c r="F70" s="53">
        <f ca="1"/>
        <v>6.9743999999999957</v>
      </c>
      <c r="G70" s="53">
        <f ca="1"/>
        <v>169.83240000000001</v>
      </c>
      <c r="H70" s="53">
        <f ca="1"/>
        <v>24.350825877494856</v>
      </c>
      <c r="I70" s="53" t="str">
        <f ca="1"/>
        <v>Training</v>
      </c>
      <c r="J70" s="68">
        <f ca="1"/>
        <v>0.25163703337004228</v>
      </c>
      <c r="K70" s="21">
        <f t="shared" ca="1" si="1"/>
        <v>27.234855908095824</v>
      </c>
      <c r="L70" s="21">
        <f t="shared" ca="1" si="2"/>
        <v>-161.81363926415531</v>
      </c>
      <c r="M70" s="54"/>
      <c r="N70" s="53"/>
      <c r="O70" s="67">
        <f ca="1"/>
        <v>169.83240000000001</v>
      </c>
      <c r="P70" s="53">
        <f ca="1"/>
        <v>142.59754409190418</v>
      </c>
      <c r="Q70" s="53" t="str">
        <f ca="1"/>
        <v>Training</v>
      </c>
      <c r="R70" s="68">
        <f ca="1"/>
        <v>16.0363133937316</v>
      </c>
      <c r="V70"/>
      <c r="W70"/>
      <c r="X70"/>
      <c r="Y70"/>
      <c r="Z70"/>
      <c r="AA70"/>
    </row>
    <row r="71" spans="1:27" s="2" customFormat="1" x14ac:dyDescent="0.3">
      <c r="A71" s="67" t="str">
        <f ca="1"/>
        <v>RT18</v>
      </c>
      <c r="B71" s="53">
        <f ca="1"/>
        <v>230</v>
      </c>
      <c r="C71" s="53" t="str">
        <f ca="1"/>
        <v>Solidification</v>
      </c>
      <c r="D71" s="53">
        <f ca="1"/>
        <v>1</v>
      </c>
      <c r="E71" s="53">
        <f ca="1"/>
        <v>2</v>
      </c>
      <c r="F71" s="53">
        <f ca="1"/>
        <v>27.339335607030389</v>
      </c>
      <c r="G71" s="53">
        <f ca="1"/>
        <v>517.33538910520599</v>
      </c>
      <c r="H71" s="53">
        <f ca="1"/>
        <v>18.922749131188528</v>
      </c>
      <c r="I71" s="53" t="str">
        <f ca="1"/>
        <v>Training</v>
      </c>
      <c r="J71" s="68">
        <f ca="1"/>
        <v>0.72998813335583645</v>
      </c>
      <c r="K71" s="21">
        <f t="shared" ca="1" si="1"/>
        <v>-41.640596594909312</v>
      </c>
      <c r="L71" s="21">
        <f t="shared" ca="1" si="2"/>
        <v>185.68934984105067</v>
      </c>
      <c r="M71" s="54"/>
      <c r="N71" s="53"/>
      <c r="O71" s="67">
        <f ca="1"/>
        <v>517.33538910520599</v>
      </c>
      <c r="P71" s="53">
        <f ca="1"/>
        <v>558.9759857001153</v>
      </c>
      <c r="Q71" s="53" t="str">
        <f ca="1"/>
        <v>Training</v>
      </c>
      <c r="R71" s="68">
        <f ca="1"/>
        <v>8.0490524081354167</v>
      </c>
      <c r="V71"/>
      <c r="W71"/>
      <c r="X71"/>
      <c r="Y71"/>
      <c r="Z71"/>
      <c r="AA71"/>
    </row>
    <row r="72" spans="1:27" s="2" customFormat="1" x14ac:dyDescent="0.3">
      <c r="A72" s="67" t="str">
        <f ca="1"/>
        <v>RT24</v>
      </c>
      <c r="B72" s="53">
        <f ca="1"/>
        <v>170</v>
      </c>
      <c r="C72" s="53" t="str">
        <f ca="1"/>
        <v>Solidification</v>
      </c>
      <c r="D72" s="53">
        <f ca="1"/>
        <v>0.5</v>
      </c>
      <c r="E72" s="53">
        <f ca="1"/>
        <v>3</v>
      </c>
      <c r="F72" s="53">
        <f ca="1"/>
        <v>15.972408843058197</v>
      </c>
      <c r="G72" s="53">
        <f ca="1"/>
        <v>309.82490270263128</v>
      </c>
      <c r="H72" s="53">
        <f ca="1"/>
        <v>19.397506396618752</v>
      </c>
      <c r="I72" s="53" t="str">
        <f ca="1"/>
        <v>Training</v>
      </c>
      <c r="J72" s="68">
        <f ca="1"/>
        <v>0.29955167937326854</v>
      </c>
      <c r="K72" s="21">
        <f t="shared" ca="1" si="1"/>
        <v>-16.744590623233705</v>
      </c>
      <c r="L72" s="21">
        <f t="shared" ca="1" si="2"/>
        <v>-21.821136561524042</v>
      </c>
      <c r="M72" s="54"/>
      <c r="N72" s="53"/>
      <c r="O72" s="67">
        <f ca="1"/>
        <v>309.82490270263128</v>
      </c>
      <c r="P72" s="53">
        <f ca="1"/>
        <v>326.56949332586498</v>
      </c>
      <c r="Q72" s="53" t="str">
        <f ca="1"/>
        <v>Training</v>
      </c>
      <c r="R72" s="68">
        <f ca="1"/>
        <v>5.4045334888090313</v>
      </c>
      <c r="V72"/>
      <c r="W72"/>
      <c r="X72"/>
      <c r="Y72"/>
      <c r="Z72"/>
      <c r="AA72"/>
    </row>
    <row r="73" spans="1:27" s="2" customFormat="1" x14ac:dyDescent="0.3">
      <c r="A73" s="67" t="str">
        <f ca="1"/>
        <v>RT8</v>
      </c>
      <c r="B73" s="53">
        <f ca="1"/>
        <v>170</v>
      </c>
      <c r="C73" s="53" t="str">
        <f ca="1"/>
        <v>Solidification</v>
      </c>
      <c r="D73" s="53">
        <f ca="1"/>
        <v>0.5</v>
      </c>
      <c r="E73" s="53">
        <f ca="1"/>
        <v>3</v>
      </c>
      <c r="F73" s="53">
        <f ca="1"/>
        <v>7.7242423058830347</v>
      </c>
      <c r="G73" s="53">
        <f ca="1"/>
        <v>178.55986063999981</v>
      </c>
      <c r="H73" s="53">
        <f ca="1"/>
        <v>23.116812441785104</v>
      </c>
      <c r="I73" s="53" t="str">
        <f ca="1"/>
        <v>Training</v>
      </c>
      <c r="J73" s="68">
        <f ca="1"/>
        <v>0.60426590987901585</v>
      </c>
      <c r="K73" s="21">
        <f t="shared" ca="1" si="1"/>
        <v>20.631152394171039</v>
      </c>
      <c r="L73" s="21">
        <f t="shared" ca="1" si="2"/>
        <v>-153.08617862415551</v>
      </c>
      <c r="M73" s="54"/>
      <c r="N73" s="53"/>
      <c r="O73" s="67">
        <f ca="1"/>
        <v>178.55986063999981</v>
      </c>
      <c r="P73" s="53">
        <f ca="1"/>
        <v>157.92870824582877</v>
      </c>
      <c r="Q73" s="53" t="str">
        <f ca="1"/>
        <v>Training</v>
      </c>
      <c r="R73" s="68">
        <f ca="1"/>
        <v>11.5541938262184</v>
      </c>
      <c r="V73"/>
      <c r="W73"/>
      <c r="X73"/>
      <c r="Y73"/>
      <c r="Z73"/>
      <c r="AA73"/>
    </row>
    <row r="74" spans="1:27" s="2" customFormat="1" x14ac:dyDescent="0.3">
      <c r="A74" s="67" t="str">
        <f ca="1"/>
        <v>RT18</v>
      </c>
      <c r="B74" s="53">
        <f ca="1"/>
        <v>230</v>
      </c>
      <c r="C74" s="53" t="str">
        <f ca="1"/>
        <v>Solidification</v>
      </c>
      <c r="D74" s="53">
        <f ca="1"/>
        <v>1</v>
      </c>
      <c r="E74" s="53">
        <f ca="1"/>
        <v>3</v>
      </c>
      <c r="F74" s="53">
        <f ca="1"/>
        <v>25.152330906320181</v>
      </c>
      <c r="G74" s="53">
        <f ca="1"/>
        <v>531.35713106848095</v>
      </c>
      <c r="H74" s="53">
        <f ca="1"/>
        <v>21.125562201273503</v>
      </c>
      <c r="I74" s="53" t="str">
        <f ca="1"/>
        <v>Training</v>
      </c>
      <c r="J74" s="68">
        <f ca="1"/>
        <v>0.25125989131360871</v>
      </c>
      <c r="K74" s="21">
        <f t="shared" ca="1" si="1"/>
        <v>17.096317890550495</v>
      </c>
      <c r="L74" s="21">
        <f t="shared" ca="1" si="2"/>
        <v>199.71109180432563</v>
      </c>
      <c r="M74" s="54"/>
      <c r="N74" s="53"/>
      <c r="O74" s="67">
        <f ca="1"/>
        <v>531.35713106848095</v>
      </c>
      <c r="P74" s="53">
        <f ca="1"/>
        <v>514.26081317793046</v>
      </c>
      <c r="Q74" s="53" t="str">
        <f ca="1"/>
        <v>Training</v>
      </c>
      <c r="R74" s="68">
        <f ca="1"/>
        <v>3.217481594002948</v>
      </c>
      <c r="V74"/>
      <c r="W74"/>
      <c r="X74"/>
      <c r="Y74"/>
      <c r="Z74"/>
      <c r="AA74"/>
    </row>
    <row r="75" spans="1:27" s="2" customFormat="1" x14ac:dyDescent="0.3">
      <c r="A75" s="69" t="str">
        <f ca="1"/>
        <v>RT8</v>
      </c>
      <c r="B75" s="70">
        <f ca="1"/>
        <v>170</v>
      </c>
      <c r="C75" s="70" t="str">
        <f ca="1"/>
        <v>Solidification</v>
      </c>
      <c r="D75" s="70">
        <f ca="1"/>
        <v>1</v>
      </c>
      <c r="E75" s="70">
        <f ca="1"/>
        <v>3</v>
      </c>
      <c r="F75" s="70">
        <f ca="1"/>
        <v>11.346010588618963</v>
      </c>
      <c r="G75" s="70">
        <f ca="1"/>
        <v>205.62869365733505</v>
      </c>
      <c r="H75" s="70">
        <f ca="1"/>
        <v>18.123435726703669</v>
      </c>
      <c r="I75" s="70" t="str">
        <f ca="1"/>
        <v>Training</v>
      </c>
      <c r="J75" s="71">
        <f ca="1"/>
        <v>0.16442123959666333</v>
      </c>
      <c r="K75" s="21">
        <f t="shared" ca="1" si="1"/>
        <v>-26.350149709521617</v>
      </c>
      <c r="L75" s="21">
        <f t="shared" ca="1" si="2"/>
        <v>-126.01734560682027</v>
      </c>
      <c r="M75" s="54"/>
      <c r="N75" s="53"/>
      <c r="O75" s="69">
        <f ca="1"/>
        <v>205.62869365733505</v>
      </c>
      <c r="P75" s="70">
        <f ca="1"/>
        <v>231.97884336685667</v>
      </c>
      <c r="Q75" s="70" t="str">
        <f ca="1"/>
        <v>Training</v>
      </c>
      <c r="R75" s="71">
        <f ca="1"/>
        <v>12.814432286105063</v>
      </c>
      <c r="V75"/>
      <c r="W75"/>
      <c r="X75"/>
      <c r="Y75"/>
      <c r="Z75"/>
      <c r="AA75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3"/>
      <c r="O76" s="53"/>
      <c r="P76" s="53"/>
      <c r="Q76" s="53"/>
      <c r="R76" s="53"/>
    </row>
    <row r="77" spans="1:27" x14ac:dyDescent="0.3">
      <c r="K77" s="52"/>
      <c r="L77" s="52"/>
    </row>
    <row r="78" spans="1:27" s="2" customFormat="1" x14ac:dyDescent="0.3">
      <c r="A78" s="28" t="str" cm="1">
        <f t="array" aca="1" ref="A78:J86" ca="1">_xlfn._xlws.FILTER(Data_Solidification[],Data_Solidification[T / V]="Validation")</f>
        <v>RT18</v>
      </c>
      <c r="B78" s="29">
        <f ca="1"/>
        <v>230</v>
      </c>
      <c r="C78" s="29" t="str">
        <f ca="1"/>
        <v>Solidification</v>
      </c>
      <c r="D78" s="29">
        <f ca="1"/>
        <v>0.5</v>
      </c>
      <c r="E78" s="29">
        <f ca="1"/>
        <v>1</v>
      </c>
      <c r="F78" s="29">
        <f ca="1"/>
        <v>25.133748384813632</v>
      </c>
      <c r="G78" s="29">
        <f ca="1"/>
        <v>559.05236689916728</v>
      </c>
      <c r="H78" s="29">
        <f ca="1"/>
        <v>22.243095551834166</v>
      </c>
      <c r="I78" s="29" t="str">
        <f ca="1"/>
        <v>Validation</v>
      </c>
      <c r="J78" s="30">
        <f ca="1"/>
        <v>0.25986555732562044</v>
      </c>
      <c r="K78" s="31"/>
      <c r="L78" s="31"/>
      <c r="M78" s="32"/>
      <c r="N78" s="31"/>
      <c r="O78" s="28" cm="1">
        <f t="array" aca="1" ref="O78:R86" ca="1">_xlfn._xlws.FILTER(Estimates_Solidification[],Estimates_Solidification[T / V]="Validation")</f>
        <v>559.05236689916728</v>
      </c>
      <c r="P78" s="29">
        <f ca="1"/>
        <v>513.88087770966524</v>
      </c>
      <c r="Q78" s="29" t="str">
        <f ca="1"/>
        <v>Validation</v>
      </c>
      <c r="R78" s="30">
        <f ca="1"/>
        <v>8.0800103646908141</v>
      </c>
      <c r="V78"/>
      <c r="W78"/>
      <c r="X78"/>
      <c r="Y78"/>
      <c r="Z78"/>
      <c r="AA78"/>
    </row>
    <row r="79" spans="1:27" s="2" customFormat="1" x14ac:dyDescent="0.3">
      <c r="A79" s="33" t="str">
        <f ca="1"/>
        <v>RT11</v>
      </c>
      <c r="B79" s="31">
        <f ca="1"/>
        <v>170</v>
      </c>
      <c r="C79" s="31" t="str">
        <f ca="1"/>
        <v>Solidification</v>
      </c>
      <c r="D79" s="31">
        <f ca="1"/>
        <v>0.5</v>
      </c>
      <c r="E79" s="31">
        <f ca="1"/>
        <v>3</v>
      </c>
      <c r="F79" s="31">
        <f ca="1"/>
        <v>14.158822452174912</v>
      </c>
      <c r="G79" s="31">
        <f ca="1"/>
        <v>270.25498746086953</v>
      </c>
      <c r="H79" s="31">
        <f ca="1"/>
        <v>19.087391509691273</v>
      </c>
      <c r="I79" s="31" t="str">
        <f ca="1"/>
        <v>Validation</v>
      </c>
      <c r="J79" s="34">
        <f ca="1"/>
        <v>0.3627592397373226</v>
      </c>
      <c r="K79" s="31"/>
      <c r="L79" s="31"/>
      <c r="M79" s="32"/>
      <c r="N79" s="31"/>
      <c r="O79" s="33">
        <f ca="1"/>
        <v>270.25498746086953</v>
      </c>
      <c r="P79" s="31">
        <f ca="1"/>
        <v>289.48917597405597</v>
      </c>
      <c r="Q79" s="31" t="str">
        <f ca="1"/>
        <v>Validation</v>
      </c>
      <c r="R79" s="34">
        <f ca="1"/>
        <v>7.1170521935220066</v>
      </c>
      <c r="V79"/>
      <c r="W79"/>
      <c r="X79"/>
      <c r="Y79"/>
      <c r="Z79"/>
      <c r="AA79"/>
    </row>
    <row r="80" spans="1:27" s="2" customFormat="1" x14ac:dyDescent="0.3">
      <c r="A80" s="33" t="str">
        <f ca="1"/>
        <v>RT18</v>
      </c>
      <c r="B80" s="31">
        <f ca="1"/>
        <v>230</v>
      </c>
      <c r="C80" s="31" t="str">
        <f ca="1"/>
        <v>Solidification</v>
      </c>
      <c r="D80" s="31">
        <f ca="1"/>
        <v>0.5</v>
      </c>
      <c r="E80" s="31">
        <f ca="1"/>
        <v>2</v>
      </c>
      <c r="F80" s="31">
        <f ca="1"/>
        <v>23.56542752499842</v>
      </c>
      <c r="G80" s="31">
        <f ca="1"/>
        <v>527.0688230324987</v>
      </c>
      <c r="H80" s="31">
        <f ca="1"/>
        <v>22.366189727446248</v>
      </c>
      <c r="I80" s="31" t="str">
        <f ca="1"/>
        <v>Validation</v>
      </c>
      <c r="J80" s="34">
        <f ca="1"/>
        <v>0.96688430978873585</v>
      </c>
      <c r="K80" s="31"/>
      <c r="L80" s="31"/>
      <c r="M80" s="32"/>
      <c r="N80" s="31"/>
      <c r="O80" s="33">
        <f ca="1"/>
        <v>527.0688230324987</v>
      </c>
      <c r="P80" s="31">
        <f ca="1"/>
        <v>481.81522289236869</v>
      </c>
      <c r="Q80" s="31" t="str">
        <f ca="1"/>
        <v>Validation</v>
      </c>
      <c r="R80" s="34">
        <f ca="1"/>
        <v>8.5858996325684203</v>
      </c>
      <c r="V80"/>
      <c r="W80"/>
      <c r="X80"/>
      <c r="Y80"/>
      <c r="Z80"/>
      <c r="AA80"/>
    </row>
    <row r="81" spans="1:27" s="2" customFormat="1" x14ac:dyDescent="0.3">
      <c r="A81" s="33" t="str">
        <f ca="1"/>
        <v>RT11</v>
      </c>
      <c r="B81" s="31">
        <f ca="1"/>
        <v>170</v>
      </c>
      <c r="C81" s="31" t="str">
        <f ca="1"/>
        <v>Solidification</v>
      </c>
      <c r="D81" s="31">
        <f ca="1"/>
        <v>0.5</v>
      </c>
      <c r="E81" s="31">
        <f ca="1"/>
        <v>2</v>
      </c>
      <c r="F81" s="31">
        <f ca="1"/>
        <v>11.776659612500808</v>
      </c>
      <c r="G81" s="31">
        <f ca="1"/>
        <v>233.47361453749977</v>
      </c>
      <c r="H81" s="31">
        <f ca="1"/>
        <v>19.825113590756231</v>
      </c>
      <c r="I81" s="31" t="str">
        <f ca="1"/>
        <v>Validation</v>
      </c>
      <c r="J81" s="34">
        <f ca="1"/>
        <v>0.77423749784829377</v>
      </c>
      <c r="K81" s="31"/>
      <c r="L81" s="31"/>
      <c r="M81" s="32"/>
      <c r="N81" s="31"/>
      <c r="O81" s="33">
        <f ca="1"/>
        <v>233.47361453749977</v>
      </c>
      <c r="P81" s="31">
        <f ca="1"/>
        <v>240.78382919662366</v>
      </c>
      <c r="Q81" s="31" t="str">
        <f ca="1"/>
        <v>Validation</v>
      </c>
      <c r="R81" s="34">
        <f ca="1"/>
        <v>3.1310667261502236</v>
      </c>
      <c r="V81"/>
      <c r="W81"/>
      <c r="X81"/>
      <c r="Y81"/>
      <c r="Z81"/>
      <c r="AA81"/>
    </row>
    <row r="82" spans="1:27" s="2" customFormat="1" x14ac:dyDescent="0.3">
      <c r="A82" s="33" t="str">
        <f ca="1"/>
        <v>RT24</v>
      </c>
      <c r="B82" s="31">
        <f ca="1"/>
        <v>170</v>
      </c>
      <c r="C82" s="31" t="str">
        <f ca="1"/>
        <v>Solidification</v>
      </c>
      <c r="D82" s="31">
        <f ca="1"/>
        <v>1</v>
      </c>
      <c r="E82" s="31">
        <f ca="1"/>
        <v>3</v>
      </c>
      <c r="F82" s="31">
        <f ca="1"/>
        <v>17.283599999999968</v>
      </c>
      <c r="G82" s="31">
        <f ca="1"/>
        <v>360.78210000000007</v>
      </c>
      <c r="H82" s="31">
        <f ca="1"/>
        <v>20.874244948969007</v>
      </c>
      <c r="I82" s="31" t="str">
        <f ca="1"/>
        <v>Validation</v>
      </c>
      <c r="J82" s="34">
        <f ca="1"/>
        <v>0.66112817451219663</v>
      </c>
      <c r="K82" s="31"/>
      <c r="L82" s="31"/>
      <c r="M82" s="32"/>
      <c r="N82" s="31"/>
      <c r="O82" s="33">
        <f ca="1"/>
        <v>360.78210000000007</v>
      </c>
      <c r="P82" s="31">
        <f ca="1"/>
        <v>353.37791251818533</v>
      </c>
      <c r="Q82" s="31" t="str">
        <f ca="1"/>
        <v>Validation</v>
      </c>
      <c r="R82" s="34">
        <f ca="1"/>
        <v>2.0522602096430904</v>
      </c>
      <c r="V82"/>
      <c r="W82"/>
      <c r="X82"/>
      <c r="Y82"/>
      <c r="Z82"/>
      <c r="AA82"/>
    </row>
    <row r="83" spans="1:27" s="2" customFormat="1" x14ac:dyDescent="0.3">
      <c r="A83" s="33" t="str">
        <f ca="1"/>
        <v>RT8 (15mm)</v>
      </c>
      <c r="B83" s="31">
        <f ca="1"/>
        <v>170</v>
      </c>
      <c r="C83" s="31" t="str">
        <f ca="1"/>
        <v>Solidification</v>
      </c>
      <c r="D83" s="31">
        <f ca="1"/>
        <v>0.5</v>
      </c>
      <c r="E83" s="31">
        <f ca="1"/>
        <v>2</v>
      </c>
      <c r="F83" s="31">
        <f ca="1"/>
        <v>18.948021681361002</v>
      </c>
      <c r="G83" s="31">
        <f ca="1"/>
        <v>412.39364114077745</v>
      </c>
      <c r="H83" s="31">
        <f ca="1"/>
        <v>21.764469561824775</v>
      </c>
      <c r="I83" s="31" t="str">
        <f ca="1"/>
        <v>Validation</v>
      </c>
      <c r="J83" s="34">
        <f ca="1"/>
        <v>0.40511748614090592</v>
      </c>
      <c r="K83" s="31"/>
      <c r="L83" s="31"/>
      <c r="M83" s="32"/>
      <c r="N83" s="31"/>
      <c r="O83" s="33">
        <f ca="1"/>
        <v>412.39364114077745</v>
      </c>
      <c r="P83" s="31">
        <f ca="1"/>
        <v>387.40843042587653</v>
      </c>
      <c r="Q83" s="31" t="str">
        <f ca="1"/>
        <v>Validation</v>
      </c>
      <c r="R83" s="34">
        <f ca="1"/>
        <v>6.0585829223229455</v>
      </c>
      <c r="V83"/>
      <c r="W83"/>
      <c r="X83"/>
      <c r="Y83"/>
      <c r="Z83"/>
      <c r="AA83"/>
    </row>
    <row r="84" spans="1:27" s="2" customFormat="1" x14ac:dyDescent="0.3">
      <c r="A84" s="33" t="str">
        <f ca="1"/>
        <v>RT8 (15mm)</v>
      </c>
      <c r="B84" s="31">
        <f ca="1"/>
        <v>170</v>
      </c>
      <c r="C84" s="31" t="str">
        <f ca="1"/>
        <v>Solidification</v>
      </c>
      <c r="D84" s="31">
        <f ca="1"/>
        <v>1</v>
      </c>
      <c r="E84" s="31">
        <f ca="1"/>
        <v>1</v>
      </c>
      <c r="F84" s="31">
        <f ca="1"/>
        <v>20.136299999999675</v>
      </c>
      <c r="G84" s="31">
        <f ca="1"/>
        <v>422.07809643010341</v>
      </c>
      <c r="H84" s="31">
        <f ca="1"/>
        <v>20.961055230112297</v>
      </c>
      <c r="I84" s="31" t="str">
        <f ca="1"/>
        <v>Validation</v>
      </c>
      <c r="J84" s="34">
        <f ca="1"/>
        <v>0.42491621834262694</v>
      </c>
      <c r="K84" s="31"/>
      <c r="L84" s="31"/>
      <c r="M84" s="32"/>
      <c r="N84" s="31"/>
      <c r="O84" s="33">
        <f ca="1"/>
        <v>422.07809643010341</v>
      </c>
      <c r="P84" s="31">
        <f ca="1"/>
        <v>411.70379202480007</v>
      </c>
      <c r="Q84" s="31" t="str">
        <f ca="1"/>
        <v>Validation</v>
      </c>
      <c r="R84" s="34">
        <f ca="1"/>
        <v>2.4579111053258234</v>
      </c>
      <c r="V84"/>
      <c r="W84"/>
      <c r="X84"/>
      <c r="Y84"/>
      <c r="Z84"/>
      <c r="AA84"/>
    </row>
    <row r="85" spans="1:27" s="2" customFormat="1" x14ac:dyDescent="0.3">
      <c r="A85" s="33" t="str">
        <f ca="1"/>
        <v>RT24</v>
      </c>
      <c r="B85" s="31">
        <f ca="1"/>
        <v>170</v>
      </c>
      <c r="C85" s="31" t="str">
        <f ca="1"/>
        <v>Solidification</v>
      </c>
      <c r="D85" s="31">
        <f ca="1"/>
        <v>1</v>
      </c>
      <c r="E85" s="31">
        <f ca="1"/>
        <v>1</v>
      </c>
      <c r="F85" s="31">
        <f ca="1"/>
        <v>19.086000000000098</v>
      </c>
      <c r="G85" s="31">
        <f ca="1"/>
        <v>387.39479999999998</v>
      </c>
      <c r="H85" s="31">
        <f ca="1"/>
        <v>20.297327884313002</v>
      </c>
      <c r="I85" s="31" t="str">
        <f ca="1"/>
        <v>Validation</v>
      </c>
      <c r="J85" s="34">
        <f ca="1"/>
        <v>0.74824796405065674</v>
      </c>
      <c r="K85" s="31"/>
      <c r="L85" s="31"/>
      <c r="M85" s="32"/>
      <c r="N85" s="31"/>
      <c r="O85" s="33">
        <f ca="1"/>
        <v>387.39479999999998</v>
      </c>
      <c r="P85" s="31">
        <f ca="1"/>
        <v>390.22951458736219</v>
      </c>
      <c r="Q85" s="31" t="str">
        <f ca="1"/>
        <v>Validation</v>
      </c>
      <c r="R85" s="34">
        <f ca="1"/>
        <v>0.73173790339008526</v>
      </c>
      <c r="V85"/>
      <c r="W85"/>
      <c r="X85"/>
      <c r="Y85"/>
      <c r="Z85"/>
      <c r="AA85"/>
    </row>
    <row r="86" spans="1:27" s="2" customFormat="1" x14ac:dyDescent="0.3">
      <c r="A86" s="35" t="str">
        <f ca="1"/>
        <v>RT8</v>
      </c>
      <c r="B86" s="36">
        <f ca="1"/>
        <v>170</v>
      </c>
      <c r="C86" s="36" t="str">
        <f ca="1"/>
        <v>Solidification</v>
      </c>
      <c r="D86" s="36">
        <f ca="1"/>
        <v>0.5</v>
      </c>
      <c r="E86" s="36">
        <f ca="1"/>
        <v>1</v>
      </c>
      <c r="F86" s="36">
        <f ca="1"/>
        <v>9.9350536485328842</v>
      </c>
      <c r="G86" s="36">
        <f ca="1"/>
        <v>186.1133247973641</v>
      </c>
      <c r="H86" s="36">
        <f ca="1"/>
        <v>18.732996456928802</v>
      </c>
      <c r="I86" s="36" t="str">
        <f ca="1"/>
        <v>Validation</v>
      </c>
      <c r="J86" s="37">
        <f ca="1"/>
        <v>0.82891761214544268</v>
      </c>
      <c r="K86" s="31"/>
      <c r="L86" s="31"/>
      <c r="M86" s="32"/>
      <c r="N86" s="31"/>
      <c r="O86" s="35">
        <f ca="1"/>
        <v>186.1133247973641</v>
      </c>
      <c r="P86" s="36">
        <f ca="1"/>
        <v>203.13062782491716</v>
      </c>
      <c r="Q86" s="36" t="str">
        <f ca="1"/>
        <v>Validation</v>
      </c>
      <c r="R86" s="37">
        <f ca="1"/>
        <v>9.1435167503890984</v>
      </c>
      <c r="V86"/>
      <c r="W86"/>
      <c r="X86"/>
      <c r="Y86"/>
      <c r="Z86"/>
      <c r="AA86"/>
    </row>
    <row r="87" spans="1:27" s="2" customForma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/>
      <c r="N87" s="31"/>
      <c r="O87" s="31"/>
      <c r="P87" s="31"/>
      <c r="Q87" s="31"/>
      <c r="R87" s="31"/>
      <c r="V87"/>
      <c r="W87"/>
      <c r="X87"/>
      <c r="Y87"/>
      <c r="Z87"/>
      <c r="AA87"/>
    </row>
    <row r="88" spans="1:27" s="2" customForma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1"/>
      <c r="O88" s="31"/>
      <c r="P88" s="31"/>
      <c r="Q88" s="31"/>
      <c r="R88" s="31"/>
      <c r="V88"/>
      <c r="W88"/>
      <c r="X88"/>
      <c r="Y88"/>
      <c r="Z88"/>
      <c r="AA88"/>
    </row>
    <row r="89" spans="1:27" s="2" customForma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/>
      <c r="N89" s="31"/>
      <c r="O89" s="31"/>
      <c r="P89" s="31"/>
      <c r="Q89" s="31"/>
      <c r="R89" s="31"/>
      <c r="V89"/>
      <c r="W89"/>
      <c r="X89"/>
      <c r="Y89"/>
      <c r="Z89"/>
      <c r="AA89"/>
    </row>
    <row r="90" spans="1:27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O90" s="31"/>
      <c r="P90" s="31"/>
      <c r="Q90" s="31"/>
      <c r="R90" s="31"/>
    </row>
    <row r="91" spans="1:27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O91" s="31"/>
      <c r="P91" s="31"/>
      <c r="Q91" s="31"/>
      <c r="R91" s="31"/>
    </row>
    <row r="92" spans="1:27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O92" s="31"/>
      <c r="P92" s="31"/>
      <c r="Q92" s="31"/>
      <c r="R92" s="31"/>
    </row>
    <row r="93" spans="1:27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O93" s="31"/>
      <c r="P93" s="31"/>
      <c r="Q93" s="31"/>
      <c r="R93" s="31"/>
    </row>
    <row r="94" spans="1:27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O94" s="31"/>
      <c r="P94" s="31"/>
      <c r="Q94" s="31"/>
      <c r="R94" s="31"/>
    </row>
    <row r="95" spans="1:27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O95" s="31"/>
      <c r="P95" s="31"/>
      <c r="Q95" s="31"/>
      <c r="R95" s="31"/>
    </row>
  </sheetData>
  <mergeCells count="2">
    <mergeCell ref="A1:M1"/>
    <mergeCell ref="O1:R1"/>
  </mergeCells>
  <conditionalFormatting sqref="I22:I77">
    <cfRule type="expression" dxfId="3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CAEF-E532-46BA-89A3-A9257494616A}">
  <dimension ref="A1:AA95"/>
  <sheetViews>
    <sheetView zoomScale="70" zoomScaleNormal="7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2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2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2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_xlfn.MAXIFS(Estimates_Melting[Error],Estimates_Melting[T / V],"Training")</f>
        <v>15.237201158847736</v>
      </c>
      <c r="R4" s="2"/>
      <c r="T4"/>
    </row>
    <row r="5" spans="1:22" x14ac:dyDescent="0.3">
      <c r="B5" s="11" t="s">
        <v>21</v>
      </c>
      <c r="C5" s="10">
        <v>0.7</v>
      </c>
      <c r="D5" s="10">
        <f>Training*D7</f>
        <v>21</v>
      </c>
      <c r="J5"/>
      <c r="K5"/>
      <c r="L5"/>
      <c r="M5" s="9"/>
      <c r="N5"/>
      <c r="O5" s="39"/>
      <c r="P5" s="2" t="s">
        <v>29</v>
      </c>
      <c r="Q5" s="3">
        <f ca="1">_xlfn.MINIFS(Estimates_Melting[Error],Estimates_Melting[T / V],"Training")</f>
        <v>0.20152053599769323</v>
      </c>
      <c r="R5" s="2"/>
      <c r="T5"/>
    </row>
    <row r="6" spans="1:22" x14ac:dyDescent="0.3">
      <c r="B6" s="12" t="s">
        <v>22</v>
      </c>
      <c r="C6" s="3">
        <f>1-C5</f>
        <v>0.30000000000000004</v>
      </c>
      <c r="D6" s="3">
        <f>Validation*D7</f>
        <v>9.0000000000000018</v>
      </c>
      <c r="J6"/>
      <c r="K6"/>
      <c r="L6"/>
      <c r="M6" s="9"/>
      <c r="N6"/>
      <c r="O6" s="39"/>
      <c r="P6" s="2" t="s">
        <v>30</v>
      </c>
      <c r="Q6" s="3">
        <f ca="1">AVERAGEIFS(Estimates_Melting[Error],Estimates_Melting[T / V],"Training")</f>
        <v>5.7184796123500421</v>
      </c>
      <c r="R6" s="2"/>
      <c r="T6"/>
    </row>
    <row r="7" spans="1:22" x14ac:dyDescent="0.3">
      <c r="B7" s="13" t="s">
        <v>23</v>
      </c>
      <c r="C7" s="7">
        <v>1</v>
      </c>
      <c r="D7" s="7">
        <f>COUNT(Data_Melting[L])</f>
        <v>30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_xlfn.MAXIFS(Estimates_Melting[Error],Estimates_Melting[T / V],"Validation")</f>
        <v>20.934963516804778</v>
      </c>
      <c r="R7" s="2"/>
      <c r="T7"/>
    </row>
    <row r="8" spans="1:22" x14ac:dyDescent="0.3">
      <c r="J8"/>
      <c r="K8"/>
      <c r="L8"/>
      <c r="M8" s="9"/>
      <c r="N8"/>
      <c r="O8" s="39"/>
      <c r="P8" s="2" t="s">
        <v>29</v>
      </c>
      <c r="Q8" s="3">
        <f ca="1">_xlfn.MINIFS(Estimates_Melting[Error],Estimates_Melting[T / V],"Validation")</f>
        <v>1.1707868671894062</v>
      </c>
      <c r="R8" s="2"/>
      <c r="T8"/>
    </row>
    <row r="9" spans="1:22" x14ac:dyDescent="0.3">
      <c r="J9"/>
      <c r="K9"/>
      <c r="L9"/>
      <c r="M9" s="9"/>
      <c r="N9"/>
      <c r="O9" s="38"/>
      <c r="P9" s="4" t="s">
        <v>30</v>
      </c>
      <c r="Q9" s="7">
        <f ca="1">AVERAGEIFS(Estimates_Melting[Error],Estimates_Melting[T / V],"Validation")</f>
        <v>9.2799494348287013</v>
      </c>
      <c r="R9" s="2"/>
      <c r="T9"/>
    </row>
    <row r="10" spans="1:22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2" x14ac:dyDescent="0.3">
      <c r="B11" s="11" t="s">
        <v>15</v>
      </c>
      <c r="C11" s="3">
        <f ca="1">SUMPRODUCT(F55:F75,G55:G75)/SUMSQ(F55:F75)</f>
        <v>20.571035991164468</v>
      </c>
      <c r="J11"/>
      <c r="K11"/>
      <c r="L11"/>
      <c r="M11" s="9"/>
      <c r="N11"/>
      <c r="O11" s="39"/>
      <c r="P11" s="2"/>
      <c r="R11" s="2"/>
      <c r="T11"/>
    </row>
    <row r="12" spans="1:22" x14ac:dyDescent="0.3">
      <c r="B12" s="12" t="s">
        <v>14</v>
      </c>
      <c r="C12" s="3">
        <v>0</v>
      </c>
      <c r="G12"/>
      <c r="H12" s="2"/>
      <c r="I12"/>
      <c r="J12"/>
      <c r="K12"/>
      <c r="L12"/>
      <c r="M12" s="9"/>
      <c r="N12" s="73"/>
      <c r="O12" s="5"/>
      <c r="P12" s="5"/>
      <c r="Q12" s="40"/>
      <c r="R12" s="5"/>
      <c r="S12" s="5"/>
      <c r="T12" s="73"/>
      <c r="U12" s="5"/>
      <c r="V12" s="73"/>
    </row>
    <row r="13" spans="1:22" ht="16.2" x14ac:dyDescent="0.3">
      <c r="B13" s="13" t="s">
        <v>31</v>
      </c>
      <c r="C13" s="7">
        <f ca="1">1-SUMSQ(K53:K89)/SUMSQ(L53:L89)</f>
        <v>0.93022160828146472</v>
      </c>
      <c r="N13" s="5"/>
      <c r="O13" s="74"/>
      <c r="P13" s="5"/>
      <c r="Q13" s="40"/>
      <c r="R13" s="5"/>
      <c r="S13" s="5"/>
      <c r="T13" s="73"/>
      <c r="U13" s="5"/>
      <c r="V13" s="73"/>
    </row>
    <row r="14" spans="1:22" x14ac:dyDescent="0.3">
      <c r="N14" s="5"/>
      <c r="O14" s="40"/>
      <c r="P14" s="5"/>
      <c r="Q14" s="40"/>
      <c r="R14" s="5"/>
      <c r="S14" s="5"/>
      <c r="T14" s="73"/>
      <c r="U14" s="5"/>
      <c r="V14" s="73"/>
    </row>
    <row r="15" spans="1:22" x14ac:dyDescent="0.3">
      <c r="B15" s="51" t="s">
        <v>39</v>
      </c>
      <c r="N15" s="5"/>
      <c r="O15" s="15"/>
      <c r="P15" s="15"/>
      <c r="Q15" s="15"/>
      <c r="R15" s="15"/>
      <c r="S15" s="15"/>
      <c r="T15" s="16"/>
      <c r="U15" s="5"/>
      <c r="V15" s="73"/>
    </row>
    <row r="16" spans="1:22" ht="15.6" x14ac:dyDescent="0.35">
      <c r="B16" s="14" t="s">
        <v>40</v>
      </c>
      <c r="C16" s="14" t="s">
        <v>41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5"/>
      <c r="V16" s="73"/>
    </row>
    <row r="17" spans="1:27" x14ac:dyDescent="0.3">
      <c r="B17" s="10">
        <v>6</v>
      </c>
      <c r="C17" s="10">
        <f ca="1">B17*C11</f>
        <v>123.42621594698682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5"/>
      <c r="V17" s="73"/>
    </row>
    <row r="18" spans="1:27" x14ac:dyDescent="0.3">
      <c r="B18" s="7">
        <v>28</v>
      </c>
      <c r="C18" s="7">
        <f ca="1">B18*C11</f>
        <v>575.98900775260506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5"/>
      <c r="V18" s="73"/>
    </row>
    <row r="19" spans="1:27" x14ac:dyDescent="0.3">
      <c r="N19" s="40"/>
      <c r="O19" s="15"/>
      <c r="P19" s="15"/>
      <c r="Q19" s="15"/>
      <c r="R19" s="15"/>
      <c r="S19" s="15"/>
      <c r="T19" s="15"/>
      <c r="U19" s="5"/>
      <c r="V19" s="73"/>
    </row>
    <row r="20" spans="1:27" x14ac:dyDescent="0.3">
      <c r="N20" s="40"/>
      <c r="O20" s="15"/>
      <c r="P20" s="15"/>
      <c r="Q20" s="15"/>
      <c r="R20" s="15"/>
      <c r="S20" s="15"/>
      <c r="T20" s="15"/>
      <c r="U20" s="5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38</v>
      </c>
      <c r="B22" s="3">
        <v>230</v>
      </c>
      <c r="C22" s="3" t="s">
        <v>10</v>
      </c>
      <c r="D22" s="3">
        <v>0.5</v>
      </c>
      <c r="E22" s="3">
        <v>2</v>
      </c>
      <c r="F22" s="3">
        <v>22.836000000008426</v>
      </c>
      <c r="G22" s="3">
        <v>554.20560000000489</v>
      </c>
      <c r="H22" s="3">
        <v>24.268943772981274</v>
      </c>
      <c r="I22" s="3" t="str">
        <f>IF(ROWS($I$22:I22)&lt;=n_T,"Training","Validation")</f>
        <v>Training</v>
      </c>
      <c r="J22" s="3">
        <f t="shared" ref="J22:J51" ca="1" si="0">RAND()</f>
        <v>6.7590377120987699E-2</v>
      </c>
      <c r="K22" s="52"/>
      <c r="L22" s="52"/>
      <c r="O22" s="3">
        <f>Data_Melting[[#This Row],[A_q]]</f>
        <v>554.20560000000489</v>
      </c>
      <c r="P22" s="3">
        <f ca="1">Data_Melting[[#This Row],[A_T]]*$C$11</f>
        <v>469.7601778944051</v>
      </c>
      <c r="Q22" s="3" t="str">
        <f>Data_Melting[[#This Row],[T / V]]</f>
        <v>Training</v>
      </c>
      <c r="R22" s="3">
        <f ca="1">ABS((Estimates_Melting[[#This Row],[A_q predicted (b=0)]]-Estimates_Melting[[#This Row],[A_q measured]])/Estimates_Melting[[#This Row],[A_q measured]])*100</f>
        <v>15.237201158847736</v>
      </c>
      <c r="V22" s="2"/>
    </row>
    <row r="23" spans="1:27" x14ac:dyDescent="0.3">
      <c r="A23" s="3" t="s">
        <v>38</v>
      </c>
      <c r="B23" s="3">
        <v>230</v>
      </c>
      <c r="C23" s="3" t="s">
        <v>10</v>
      </c>
      <c r="D23" s="3">
        <v>0.5</v>
      </c>
      <c r="E23" s="3">
        <v>3</v>
      </c>
      <c r="F23" s="3">
        <v>22.421999999999997</v>
      </c>
      <c r="G23" s="3">
        <v>526.93979999999999</v>
      </c>
      <c r="H23" s="3">
        <v>23.50101686</v>
      </c>
      <c r="I23" s="3" t="str">
        <f>IF(ROWS($I$22:I23)&lt;=n_T,"Training","Validation")</f>
        <v>Training</v>
      </c>
      <c r="J23" s="3">
        <f t="shared" ca="1" si="0"/>
        <v>0.78618595722963569</v>
      </c>
      <c r="K23" s="52"/>
      <c r="L23" s="52"/>
      <c r="O23" s="3">
        <f>Data_Melting[[#This Row],[A_q]]</f>
        <v>526.93979999999999</v>
      </c>
      <c r="P23" s="3">
        <f ca="1">Data_Melting[[#This Row],[A_T]]*$C$11</f>
        <v>461.24376899388966</v>
      </c>
      <c r="Q23" s="3" t="str">
        <f>Data_Melting[[#This Row],[T / V]]</f>
        <v>Training</v>
      </c>
      <c r="R23" s="3">
        <f ca="1">ABS((Estimates_Melting[[#This Row],[A_q predicted (b=0)]]-Estimates_Melting[[#This Row],[A_q measured]])/Estimates_Melting[[#This Row],[A_q measured]])*100</f>
        <v>12.467464216236907</v>
      </c>
    </row>
    <row r="24" spans="1:27" x14ac:dyDescent="0.3">
      <c r="A24" s="3" t="s">
        <v>12</v>
      </c>
      <c r="B24" s="3">
        <v>170</v>
      </c>
      <c r="C24" s="3" t="s">
        <v>10</v>
      </c>
      <c r="D24" s="3">
        <v>1</v>
      </c>
      <c r="E24" s="3">
        <v>2</v>
      </c>
      <c r="F24" s="3">
        <v>11.275199999993378</v>
      </c>
      <c r="G24" s="3">
        <v>242.68199999999433</v>
      </c>
      <c r="H24" s="3">
        <v>21.523520647096007</v>
      </c>
      <c r="I24" s="3" t="str">
        <f>IF(ROWS($I$22:I24)&lt;=n_T,"Training","Validation")</f>
        <v>Training</v>
      </c>
      <c r="J24" s="3">
        <f t="shared" ca="1" si="0"/>
        <v>0.20330492019008728</v>
      </c>
      <c r="K24" s="52"/>
      <c r="L24" s="52"/>
      <c r="O24" s="3">
        <f>Data_Melting[[#This Row],[A_q]]</f>
        <v>242.68199999999433</v>
      </c>
      <c r="P24" s="3">
        <f ca="1">Data_Melting[[#This Row],[A_T]]*$C$11</f>
        <v>231.94254500744137</v>
      </c>
      <c r="Q24" s="3" t="str">
        <f>Data_Melting[[#This Row],[T / V]]</f>
        <v>Training</v>
      </c>
      <c r="R24" s="3">
        <f ca="1">ABS((Estimates_Melting[[#This Row],[A_q predicted (b=0)]]-Estimates_Melting[[#This Row],[A_q measured]])/Estimates_Melting[[#This Row],[A_q measured]])*100</f>
        <v>4.4253199629775652</v>
      </c>
    </row>
    <row r="25" spans="1:27" x14ac:dyDescent="0.3">
      <c r="A25" s="3" t="s">
        <v>38</v>
      </c>
      <c r="B25" s="3">
        <v>230</v>
      </c>
      <c r="C25" s="3" t="s">
        <v>10</v>
      </c>
      <c r="D25" s="3">
        <v>1</v>
      </c>
      <c r="E25" s="3">
        <v>1</v>
      </c>
      <c r="F25" s="3">
        <v>27.071048094113475</v>
      </c>
      <c r="G25" s="3">
        <v>497.44749309176234</v>
      </c>
      <c r="H25" s="3">
        <v>18.37562739951435</v>
      </c>
      <c r="I25" s="3" t="str">
        <f>IF(ROWS($I$22:I25)&lt;=n_T,"Training","Validation")</f>
        <v>Training</v>
      </c>
      <c r="J25" s="3">
        <f t="shared" ca="1" si="0"/>
        <v>0.15389390448209128</v>
      </c>
      <c r="K25" s="52"/>
      <c r="L25" s="52"/>
      <c r="O25" s="3">
        <f>Data_Melting[[#This Row],[A_q]]</f>
        <v>497.44749309176234</v>
      </c>
      <c r="P25" s="3">
        <f ca="1">Data_Melting[[#This Row],[A_T]]*$C$11</f>
        <v>556.87950466255256</v>
      </c>
      <c r="Q25" s="3" t="str">
        <f>Data_Melting[[#This Row],[T / V]]</f>
        <v>Training</v>
      </c>
      <c r="R25" s="3">
        <f ca="1">ABS((Estimates_Melting[[#This Row],[A_q predicted (b=0)]]-Estimates_Melting[[#This Row],[A_q measured]])/Estimates_Melting[[#This Row],[A_q measured]])*100</f>
        <v>11.947393925217153</v>
      </c>
    </row>
    <row r="26" spans="1:27" x14ac:dyDescent="0.3">
      <c r="A26" s="3" t="s">
        <v>8</v>
      </c>
      <c r="B26" s="3">
        <v>170</v>
      </c>
      <c r="C26" s="3" t="s">
        <v>10</v>
      </c>
      <c r="D26" s="3">
        <v>0.5</v>
      </c>
      <c r="E26" s="3">
        <v>1</v>
      </c>
      <c r="F26" s="3">
        <v>8.0972999999946342</v>
      </c>
      <c r="G26" s="3">
        <v>166.90619999999905</v>
      </c>
      <c r="H26" s="3">
        <v>20.612574561904541</v>
      </c>
      <c r="I26" s="3" t="str">
        <f>IF(ROWS($I$22:I26)&lt;=n_T,"Training","Validation")</f>
        <v>Training</v>
      </c>
      <c r="J26" s="3">
        <f t="shared" ca="1" si="0"/>
        <v>0.29731234696059294</v>
      </c>
      <c r="K26" s="52"/>
      <c r="L26" s="52"/>
      <c r="O26" s="3">
        <f>Data_Melting[[#This Row],[A_q]]</f>
        <v>166.90619999999905</v>
      </c>
      <c r="P26" s="3">
        <f ca="1">Data_Melting[[#This Row],[A_T]]*$C$11</f>
        <v>166.56984973114567</v>
      </c>
      <c r="Q26" s="3" t="str">
        <f>Data_Melting[[#This Row],[T / V]]</f>
        <v>Training</v>
      </c>
      <c r="R26" s="3">
        <f ca="1">ABS((Estimates_Melting[[#This Row],[A_q predicted (b=0)]]-Estimates_Melting[[#This Row],[A_q measured]])/Estimates_Melting[[#This Row],[A_q measured]])*100</f>
        <v>0.20152053599769323</v>
      </c>
    </row>
    <row r="27" spans="1:27" x14ac:dyDescent="0.3">
      <c r="A27" s="3" t="s">
        <v>12</v>
      </c>
      <c r="B27" s="3">
        <v>170</v>
      </c>
      <c r="C27" s="3" t="s">
        <v>10</v>
      </c>
      <c r="D27" s="3">
        <v>1</v>
      </c>
      <c r="E27" s="3">
        <v>1</v>
      </c>
      <c r="F27" s="3">
        <v>13.042056671598727</v>
      </c>
      <c r="G27" s="3">
        <v>266.10625346834951</v>
      </c>
      <c r="H27" s="3">
        <v>20.403703201799502</v>
      </c>
      <c r="I27" s="3" t="str">
        <f>IF(ROWS($I$22:I27)&lt;=n_T,"Training","Validation")</f>
        <v>Training</v>
      </c>
      <c r="J27" s="3">
        <f t="shared" ca="1" si="0"/>
        <v>0.3457078370857688</v>
      </c>
      <c r="K27" s="52"/>
      <c r="L27" s="52"/>
      <c r="O27" s="3">
        <f>Data_Melting[[#This Row],[A_q]]</f>
        <v>266.10625346834951</v>
      </c>
      <c r="P27" s="3">
        <f ca="1">Data_Melting[[#This Row],[A_T]]*$C$11</f>
        <v>268.28861719026406</v>
      </c>
      <c r="Q27" s="3" t="str">
        <f>Data_Melting[[#This Row],[T / V]]</f>
        <v>Training</v>
      </c>
      <c r="R27" s="3">
        <f ca="1">ABS((Estimates_Melting[[#This Row],[A_q predicted (b=0)]]-Estimates_Melting[[#This Row],[A_q measured]])/Estimates_Melting[[#This Row],[A_q measured]])*100</f>
        <v>0.82010989725730898</v>
      </c>
    </row>
    <row r="28" spans="1:27" x14ac:dyDescent="0.3">
      <c r="A28" s="3" t="s">
        <v>11</v>
      </c>
      <c r="B28" s="3">
        <v>170</v>
      </c>
      <c r="C28" s="3" t="s">
        <v>10</v>
      </c>
      <c r="D28" s="3">
        <v>0.5</v>
      </c>
      <c r="E28" s="3">
        <v>1</v>
      </c>
      <c r="F28" s="3">
        <v>12.236660066643104</v>
      </c>
      <c r="G28" s="3">
        <v>246.42412532412126</v>
      </c>
      <c r="H28" s="3">
        <v>20.138185091524168</v>
      </c>
      <c r="I28" s="3" t="str">
        <f>IF(ROWS($I$22:I28)&lt;=n_T,"Training","Validation")</f>
        <v>Training</v>
      </c>
      <c r="J28" s="3">
        <f t="shared" ca="1" si="0"/>
        <v>8.6898549732119523E-3</v>
      </c>
      <c r="K28" s="52"/>
      <c r="L28" s="52"/>
      <c r="O28" s="3">
        <f>Data_Melting[[#This Row],[A_q]]</f>
        <v>246.42412532412126</v>
      </c>
      <c r="P28" s="3">
        <f ca="1">Data_Melting[[#This Row],[A_T]]*$C$11</f>
        <v>251.72077464256029</v>
      </c>
      <c r="Q28" s="3" t="str">
        <f>Data_Melting[[#This Row],[T / V]]</f>
        <v>Training</v>
      </c>
      <c r="R28" s="3">
        <f ca="1">ABS((Estimates_Melting[[#This Row],[A_q predicted (b=0)]]-Estimates_Melting[[#This Row],[A_q measured]])/Estimates_Melting[[#This Row],[A_q measured]])*100</f>
        <v>2.1494037207080878</v>
      </c>
    </row>
    <row r="29" spans="1:27" x14ac:dyDescent="0.3">
      <c r="A29" s="3" t="s">
        <v>12</v>
      </c>
      <c r="B29" s="3">
        <v>170</v>
      </c>
      <c r="C29" s="3" t="s">
        <v>10</v>
      </c>
      <c r="D29" s="3">
        <v>1</v>
      </c>
      <c r="E29" s="3">
        <v>3</v>
      </c>
      <c r="F29" s="3">
        <v>7.7994267951314544</v>
      </c>
      <c r="G29" s="3">
        <v>182.63889794765294</v>
      </c>
      <c r="H29" s="3">
        <v>23.416964187888716</v>
      </c>
      <c r="I29" s="3" t="str">
        <f>IF(ROWS($I$22:I29)&lt;=n_T,"Training","Validation")</f>
        <v>Training</v>
      </c>
      <c r="J29" s="3">
        <f t="shared" ca="1" si="0"/>
        <v>0.71617226161408809</v>
      </c>
      <c r="K29" s="52"/>
      <c r="L29" s="52"/>
      <c r="O29" s="3">
        <f>Data_Melting[[#This Row],[A_q]]</f>
        <v>182.63889794765294</v>
      </c>
      <c r="P29" s="3">
        <f ca="1">Data_Melting[[#This Row],[A_T]]*$C$11</f>
        <v>160.4422893131017</v>
      </c>
      <c r="Q29" s="3" t="str">
        <f>Data_Melting[[#This Row],[T / V]]</f>
        <v>Training</v>
      </c>
      <c r="R29" s="3">
        <f ca="1">ABS((Estimates_Melting[[#This Row],[A_q predicted (b=0)]]-Estimates_Melting[[#This Row],[A_q measured]])/Estimates_Melting[[#This Row],[A_q measured]])*100</f>
        <v>12.153275607758607</v>
      </c>
    </row>
    <row r="30" spans="1:27" x14ac:dyDescent="0.3">
      <c r="A30" s="3" t="s">
        <v>11</v>
      </c>
      <c r="B30" s="3">
        <v>170</v>
      </c>
      <c r="C30" s="3" t="s">
        <v>10</v>
      </c>
      <c r="D30" s="3">
        <v>0.5</v>
      </c>
      <c r="E30" s="3">
        <v>2</v>
      </c>
      <c r="F30" s="3">
        <v>12.778499999994182</v>
      </c>
      <c r="G30" s="3">
        <v>247.45169999999919</v>
      </c>
      <c r="H30" s="3">
        <v>19.364690691404459</v>
      </c>
      <c r="I30" s="3" t="str">
        <f>IF(ROWS($I$22:I30)&lt;=n_T,"Training","Validation")</f>
        <v>Training</v>
      </c>
      <c r="J30" s="3">
        <f t="shared" ca="1" si="0"/>
        <v>0.37367982398305877</v>
      </c>
      <c r="K30" s="52"/>
      <c r="L30" s="52"/>
      <c r="O30" s="3">
        <f>Data_Melting[[#This Row],[A_q]]</f>
        <v>247.45169999999919</v>
      </c>
      <c r="P30" s="3">
        <f ca="1">Data_Melting[[#This Row],[A_T]]*$C$11</f>
        <v>262.86698341297546</v>
      </c>
      <c r="Q30" s="3" t="str">
        <f>Data_Melting[[#This Row],[T / V]]</f>
        <v>Training</v>
      </c>
      <c r="R30" s="3">
        <f ca="1">ABS((Estimates_Melting[[#This Row],[A_q predicted (b=0)]]-Estimates_Melting[[#This Row],[A_q measured]])/Estimates_Melting[[#This Row],[A_q measured]])*100</f>
        <v>6.2296130570031707</v>
      </c>
    </row>
    <row r="31" spans="1:27" x14ac:dyDescent="0.3">
      <c r="A31" s="3" t="s">
        <v>12</v>
      </c>
      <c r="B31" s="3">
        <v>170</v>
      </c>
      <c r="C31" s="3" t="s">
        <v>10</v>
      </c>
      <c r="D31" s="3">
        <v>0.5</v>
      </c>
      <c r="E31" s="3">
        <v>2</v>
      </c>
      <c r="F31" s="3">
        <v>11.275199999993378</v>
      </c>
      <c r="G31" s="3">
        <v>242.68199999999433</v>
      </c>
      <c r="H31" s="3">
        <v>21.523520647096007</v>
      </c>
      <c r="I31" s="3" t="str">
        <f>IF(ROWS($I$22:I31)&lt;=n_T,"Training","Validation")</f>
        <v>Training</v>
      </c>
      <c r="J31" s="3">
        <f t="shared" ca="1" si="0"/>
        <v>0.54121360782093275</v>
      </c>
      <c r="K31" s="52"/>
      <c r="L31" s="52"/>
      <c r="O31" s="3">
        <f>Data_Melting[[#This Row],[A_q]]</f>
        <v>242.68199999999433</v>
      </c>
      <c r="P31" s="3">
        <f ca="1">Data_Melting[[#This Row],[A_T]]*$C$11</f>
        <v>231.94254500744137</v>
      </c>
      <c r="Q31" s="3" t="str">
        <f>Data_Melting[[#This Row],[T / V]]</f>
        <v>Training</v>
      </c>
      <c r="R31" s="3">
        <f ca="1">ABS((Estimates_Melting[[#This Row],[A_q predicted (b=0)]]-Estimates_Melting[[#This Row],[A_q measured]])/Estimates_Melting[[#This Row],[A_q measured]])*100</f>
        <v>4.4253199629775652</v>
      </c>
    </row>
    <row r="32" spans="1:27" x14ac:dyDescent="0.3">
      <c r="A32" s="3" t="s">
        <v>37</v>
      </c>
      <c r="B32" s="3">
        <v>170</v>
      </c>
      <c r="C32" s="3" t="s">
        <v>10</v>
      </c>
      <c r="D32" s="3">
        <v>1</v>
      </c>
      <c r="E32" s="3">
        <v>3</v>
      </c>
      <c r="F32" s="3">
        <v>17.970455508345797</v>
      </c>
      <c r="G32" s="3">
        <v>340.37905812139587</v>
      </c>
      <c r="H32" s="3">
        <v>18.941036745747365</v>
      </c>
      <c r="I32" s="3" t="str">
        <f>IF(ROWS($I$22:I32)&lt;=n_T,"Training","Validation")</f>
        <v>Training</v>
      </c>
      <c r="J32" s="3">
        <f t="shared" ca="1" si="0"/>
        <v>0.83628504526182779</v>
      </c>
      <c r="K32" s="52"/>
      <c r="L32" s="52"/>
      <c r="O32" s="3">
        <f>Data_Melting[[#This Row],[A_q]]</f>
        <v>340.37905812139587</v>
      </c>
      <c r="P32" s="3">
        <f ca="1">Data_Melting[[#This Row],[A_T]]*$C$11</f>
        <v>369.67088703980113</v>
      </c>
      <c r="Q32" s="3" t="str">
        <f>Data_Melting[[#This Row],[T / V]]</f>
        <v>Training</v>
      </c>
      <c r="R32" s="3">
        <f ca="1">ABS((Estimates_Melting[[#This Row],[A_q predicted (b=0)]]-Estimates_Melting[[#This Row],[A_q measured]])/Estimates_Melting[[#This Row],[A_q measured]])*100</f>
        <v>8.6056495602494891</v>
      </c>
    </row>
    <row r="33" spans="1:27" s="2" customFormat="1" x14ac:dyDescent="0.3">
      <c r="A33" s="3" t="s">
        <v>38</v>
      </c>
      <c r="B33" s="3">
        <v>230</v>
      </c>
      <c r="C33" s="3" t="s">
        <v>10</v>
      </c>
      <c r="D33" s="3">
        <v>1</v>
      </c>
      <c r="E33" s="3">
        <v>2</v>
      </c>
      <c r="F33" s="3">
        <v>22.284430163528512</v>
      </c>
      <c r="G33" s="3">
        <v>438.58518732334858</v>
      </c>
      <c r="H33" s="3">
        <v>19.681238609419442</v>
      </c>
      <c r="I33" s="3" t="str">
        <f>IF(ROWS($I$22:I33)&lt;=n_T,"Training","Validation")</f>
        <v>Training</v>
      </c>
      <c r="J33" s="3">
        <f t="shared" ca="1" si="0"/>
        <v>0.60458016521853597</v>
      </c>
      <c r="K33" s="52"/>
      <c r="L33" s="52"/>
      <c r="M33" s="8"/>
      <c r="N33" s="3"/>
      <c r="O33" s="3">
        <f>Data_Melting[[#This Row],[A_q]]</f>
        <v>438.58518732334858</v>
      </c>
      <c r="P33" s="3">
        <f ca="1">Data_Melting[[#This Row],[A_T]]*$C$11</f>
        <v>458.41381493653608</v>
      </c>
      <c r="Q33" s="3" t="str">
        <f>Data_Melting[[#This Row],[T / V]]</f>
        <v>Training</v>
      </c>
      <c r="R33" s="3">
        <f ca="1">ABS((Estimates_Melting[[#This Row],[A_q predicted (b=0)]]-Estimates_Melting[[#This Row],[A_q measured]])/Estimates_Melting[[#This Row],[A_q measured]])*100</f>
        <v>4.5210436162242695</v>
      </c>
      <c r="V33"/>
      <c r="W33"/>
      <c r="X33"/>
      <c r="Y33"/>
      <c r="Z33"/>
      <c r="AA33"/>
    </row>
    <row r="34" spans="1:27" s="2" customFormat="1" x14ac:dyDescent="0.3">
      <c r="A34" s="3" t="s">
        <v>12</v>
      </c>
      <c r="B34" s="3">
        <v>170</v>
      </c>
      <c r="C34" s="3" t="s">
        <v>10</v>
      </c>
      <c r="D34" s="3">
        <v>0.5</v>
      </c>
      <c r="E34" s="3">
        <v>3</v>
      </c>
      <c r="F34" s="3">
        <v>12.827573007786603</v>
      </c>
      <c r="G34" s="3">
        <v>256.02550949111617</v>
      </c>
      <c r="H34" s="3">
        <v>19.958998427504827</v>
      </c>
      <c r="I34" s="3" t="str">
        <f>IF(ROWS($I$22:I34)&lt;=n_T,"Training","Validation")</f>
        <v>Training</v>
      </c>
      <c r="J34" s="3">
        <f t="shared" ca="1" si="0"/>
        <v>0.53055326962926086</v>
      </c>
      <c r="K34" s="52"/>
      <c r="L34" s="52"/>
      <c r="M34" s="8"/>
      <c r="N34" s="3"/>
      <c r="O34" s="3">
        <f>Data_Melting[[#This Row],[A_q]]</f>
        <v>256.02550949111617</v>
      </c>
      <c r="P34" s="3">
        <f ca="1">Data_Melting[[#This Row],[A_T]]*$C$11</f>
        <v>263.87646602246804</v>
      </c>
      <c r="Q34" s="3" t="str">
        <f>Data_Melting[[#This Row],[T / V]]</f>
        <v>Training</v>
      </c>
      <c r="R34" s="3">
        <f ca="1">ABS((Estimates_Melting[[#This Row],[A_q predicted (b=0)]]-Estimates_Melting[[#This Row],[A_q measured]])/Estimates_Melting[[#This Row],[A_q measured]])*100</f>
        <v>3.0664743317791503</v>
      </c>
      <c r="V34"/>
      <c r="W34"/>
      <c r="X34"/>
      <c r="Y34"/>
      <c r="Z34"/>
      <c r="AA34"/>
    </row>
    <row r="35" spans="1:27" s="2" customFormat="1" x14ac:dyDescent="0.3">
      <c r="A35" s="3" t="s">
        <v>11</v>
      </c>
      <c r="B35" s="3">
        <v>170</v>
      </c>
      <c r="C35" s="3" t="s">
        <v>10</v>
      </c>
      <c r="D35" s="3">
        <v>0.5</v>
      </c>
      <c r="E35" s="3">
        <v>3</v>
      </c>
      <c r="F35" s="3">
        <v>13.394999999995163</v>
      </c>
      <c r="G35" s="3">
        <v>240.30809999999769</v>
      </c>
      <c r="H35" s="3">
        <v>17.940134378505746</v>
      </c>
      <c r="I35" s="3" t="str">
        <f>IF(ROWS($I$22:I35)&lt;=n_T,"Training","Validation")</f>
        <v>Training</v>
      </c>
      <c r="J35" s="3">
        <f t="shared" ca="1" si="0"/>
        <v>0.34407937975710179</v>
      </c>
      <c r="K35" s="52"/>
      <c r="L35" s="52"/>
      <c r="M35" s="8"/>
      <c r="N35" s="3"/>
      <c r="O35" s="3">
        <f>Data_Melting[[#This Row],[A_q]]</f>
        <v>240.30809999999769</v>
      </c>
      <c r="P35" s="3">
        <f ca="1">Data_Melting[[#This Row],[A_T]]*$C$11</f>
        <v>275.54902710154852</v>
      </c>
      <c r="Q35" s="3" t="str">
        <f>Data_Melting[[#This Row],[T / V]]</f>
        <v>Training</v>
      </c>
      <c r="R35" s="3">
        <f ca="1">ABS((Estimates_Melting[[#This Row],[A_q predicted (b=0)]]-Estimates_Melting[[#This Row],[A_q measured]])/Estimates_Melting[[#This Row],[A_q measured]])*100</f>
        <v>14.66489356852772</v>
      </c>
      <c r="V35"/>
      <c r="W35"/>
      <c r="X35"/>
      <c r="Y35"/>
      <c r="Z35"/>
      <c r="AA35"/>
    </row>
    <row r="36" spans="1:27" s="2" customFormat="1" x14ac:dyDescent="0.3">
      <c r="A36" s="3" t="s">
        <v>37</v>
      </c>
      <c r="B36" s="3">
        <v>170</v>
      </c>
      <c r="C36" s="3" t="s">
        <v>10</v>
      </c>
      <c r="D36" s="3">
        <v>1</v>
      </c>
      <c r="E36" s="3">
        <v>1</v>
      </c>
      <c r="F36" s="3">
        <v>14.619000000000636</v>
      </c>
      <c r="G36" s="3">
        <v>301.61215956541196</v>
      </c>
      <c r="H36" s="3">
        <v>20.631517857951902</v>
      </c>
      <c r="I36" s="3" t="str">
        <f>IF(ROWS($I$22:I36)&lt;=n_T,"Training","Validation")</f>
        <v>Training</v>
      </c>
      <c r="J36" s="3">
        <f t="shared" ca="1" si="0"/>
        <v>0.96588064903215398</v>
      </c>
      <c r="K36" s="52"/>
      <c r="L36" s="52"/>
      <c r="M36" s="8"/>
      <c r="N36" s="3"/>
      <c r="O36" s="3">
        <f>Data_Melting[[#This Row],[A_q]]</f>
        <v>301.61215956541196</v>
      </c>
      <c r="P36" s="3">
        <f ca="1">Data_Melting[[#This Row],[A_T]]*$C$11</f>
        <v>300.72797515484643</v>
      </c>
      <c r="Q36" s="3" t="str">
        <f>Data_Melting[[#This Row],[T / V]]</f>
        <v>Training</v>
      </c>
      <c r="R36" s="3">
        <f ca="1">ABS((Estimates_Melting[[#This Row],[A_q predicted (b=0)]]-Estimates_Melting[[#This Row],[A_q measured]])/Estimates_Melting[[#This Row],[A_q measured]])*100</f>
        <v>0.2931527733628283</v>
      </c>
      <c r="V36"/>
      <c r="W36"/>
      <c r="X36"/>
      <c r="Y36"/>
      <c r="Z36"/>
      <c r="AA36"/>
    </row>
    <row r="37" spans="1:27" s="2" customFormat="1" x14ac:dyDescent="0.3">
      <c r="A37" s="3" t="s">
        <v>11</v>
      </c>
      <c r="B37" s="3">
        <v>170</v>
      </c>
      <c r="C37" s="3" t="s">
        <v>10</v>
      </c>
      <c r="D37" s="3">
        <v>1</v>
      </c>
      <c r="E37" s="3">
        <v>2</v>
      </c>
      <c r="F37" s="3">
        <v>11.370389065312704</v>
      </c>
      <c r="G37" s="3">
        <v>218.07088535308668</v>
      </c>
      <c r="H37" s="3">
        <v>19.178841119724638</v>
      </c>
      <c r="I37" s="3" t="str">
        <f>IF(ROWS($I$22:I37)&lt;=n_T,"Training","Validation")</f>
        <v>Training</v>
      </c>
      <c r="J37" s="3">
        <f t="shared" ca="1" si="0"/>
        <v>0.60790889180245777</v>
      </c>
      <c r="K37" s="52"/>
      <c r="L37" s="52"/>
      <c r="M37" s="8"/>
      <c r="N37" s="3"/>
      <c r="O37" s="3">
        <f>Data_Melting[[#This Row],[A_q]]</f>
        <v>218.07088535308668</v>
      </c>
      <c r="P37" s="3">
        <f ca="1">Data_Melting[[#This Row],[A_T]]*$C$11</f>
        <v>233.90068269609054</v>
      </c>
      <c r="Q37" s="3" t="str">
        <f>Data_Melting[[#This Row],[T / V]]</f>
        <v>Training</v>
      </c>
      <c r="R37" s="3">
        <f ca="1">ABS((Estimates_Melting[[#This Row],[A_q predicted (b=0)]]-Estimates_Melting[[#This Row],[A_q measured]])/Estimates_Melting[[#This Row],[A_q measured]])*100</f>
        <v>7.2590145710525498</v>
      </c>
      <c r="V37"/>
      <c r="W37"/>
      <c r="X37"/>
      <c r="Y37"/>
      <c r="Z37"/>
      <c r="AA37"/>
    </row>
    <row r="38" spans="1:27" s="2" customFormat="1" x14ac:dyDescent="0.3">
      <c r="A38" s="3" t="s">
        <v>8</v>
      </c>
      <c r="B38" s="3">
        <v>170</v>
      </c>
      <c r="C38" s="3" t="s">
        <v>10</v>
      </c>
      <c r="D38" s="3">
        <v>0.5</v>
      </c>
      <c r="E38" s="3">
        <v>2</v>
      </c>
      <c r="F38" s="3">
        <v>6.9327748784655023</v>
      </c>
      <c r="G38" s="3">
        <v>136.08228581679037</v>
      </c>
      <c r="H38" s="3">
        <v>19.62883379344791</v>
      </c>
      <c r="I38" s="3" t="str">
        <f>IF(ROWS($I$22:I38)&lt;=n_T,"Training","Validation")</f>
        <v>Training</v>
      </c>
      <c r="J38" s="3">
        <f t="shared" ca="1" si="0"/>
        <v>0.949625620153843</v>
      </c>
      <c r="K38" s="52"/>
      <c r="L38" s="52"/>
      <c r="M38" s="8"/>
      <c r="N38" s="3"/>
      <c r="O38" s="3">
        <f>Data_Melting[[#This Row],[A_q]]</f>
        <v>136.08228581679037</v>
      </c>
      <c r="P38" s="3">
        <f ca="1">Data_Melting[[#This Row],[A_T]]*$C$11</f>
        <v>142.61436154355471</v>
      </c>
      <c r="Q38" s="3" t="str">
        <f>Data_Melting[[#This Row],[T / V]]</f>
        <v>Training</v>
      </c>
      <c r="R38" s="3">
        <f ca="1">ABS((Estimates_Melting[[#This Row],[A_q predicted (b=0)]]-Estimates_Melting[[#This Row],[A_q measured]])/Estimates_Melting[[#This Row],[A_q measured]])*100</f>
        <v>4.8000925965915684</v>
      </c>
      <c r="V38"/>
      <c r="W38"/>
      <c r="X38"/>
      <c r="Y38"/>
      <c r="Z38"/>
      <c r="AA38"/>
    </row>
    <row r="39" spans="1:27" s="2" customFormat="1" x14ac:dyDescent="0.3">
      <c r="A39" s="3" t="s">
        <v>11</v>
      </c>
      <c r="B39" s="3">
        <v>170</v>
      </c>
      <c r="C39" s="3" t="s">
        <v>10</v>
      </c>
      <c r="D39" s="3">
        <v>1</v>
      </c>
      <c r="E39" s="3">
        <v>1</v>
      </c>
      <c r="F39" s="3">
        <v>11.064381075029758</v>
      </c>
      <c r="G39" s="3">
        <v>222.77243533078848</v>
      </c>
      <c r="H39" s="3">
        <v>20.134197640168441</v>
      </c>
      <c r="I39" s="3" t="str">
        <f>IF(ROWS($I$22:I39)&lt;=n_T,"Training","Validation")</f>
        <v>Training</v>
      </c>
      <c r="J39" s="3">
        <f t="shared" ca="1" si="0"/>
        <v>9.9541107929698502E-2</v>
      </c>
      <c r="K39" s="52"/>
      <c r="L39" s="52"/>
      <c r="M39" s="8"/>
      <c r="N39" s="3"/>
      <c r="O39" s="3">
        <f>Data_Melting[[#This Row],[A_q]]</f>
        <v>222.77243533078848</v>
      </c>
      <c r="P39" s="3">
        <f ca="1">Data_Melting[[#This Row],[A_T]]*$C$11</f>
        <v>227.60578131439615</v>
      </c>
      <c r="Q39" s="3" t="str">
        <f>Data_Melting[[#This Row],[T / V]]</f>
        <v>Training</v>
      </c>
      <c r="R39" s="3">
        <f ca="1">ABS((Estimates_Melting[[#This Row],[A_q predicted (b=0)]]-Estimates_Melting[[#This Row],[A_q measured]])/Estimates_Melting[[#This Row],[A_q measured]])*100</f>
        <v>2.1696337683927425</v>
      </c>
      <c r="V39"/>
      <c r="W39"/>
      <c r="X39"/>
      <c r="Y39"/>
      <c r="Z39"/>
      <c r="AA39"/>
    </row>
    <row r="40" spans="1:27" s="2" customFormat="1" x14ac:dyDescent="0.3">
      <c r="A40" s="3" t="s">
        <v>37</v>
      </c>
      <c r="B40" s="3">
        <v>170</v>
      </c>
      <c r="C40" s="3" t="s">
        <v>10</v>
      </c>
      <c r="D40" s="3">
        <v>0.5</v>
      </c>
      <c r="E40" s="3">
        <v>2</v>
      </c>
      <c r="F40" s="3">
        <v>14.901658243472077</v>
      </c>
      <c r="G40" s="3">
        <v>299.1960258608637</v>
      </c>
      <c r="H40" s="3">
        <v>20.078035677132213</v>
      </c>
      <c r="I40" s="3" t="str">
        <f>IF(ROWS($I$22:I40)&lt;=n_T,"Training","Validation")</f>
        <v>Training</v>
      </c>
      <c r="J40" s="3">
        <f t="shared" ca="1" si="0"/>
        <v>0.83937543975357565</v>
      </c>
      <c r="K40" s="52"/>
      <c r="L40" s="52"/>
      <c r="M40" s="8"/>
      <c r="N40" s="3"/>
      <c r="O40" s="3">
        <f>Data_Melting[[#This Row],[A_q]]</f>
        <v>299.1960258608637</v>
      </c>
      <c r="P40" s="3">
        <f ca="1">Data_Melting[[#This Row],[A_T]]*$C$11</f>
        <v>306.54254805449682</v>
      </c>
      <c r="Q40" s="3" t="str">
        <f>Data_Melting[[#This Row],[T / V]]</f>
        <v>Training</v>
      </c>
      <c r="R40" s="3">
        <f ca="1">ABS((Estimates_Melting[[#This Row],[A_q predicted (b=0)]]-Estimates_Melting[[#This Row],[A_q measured]])/Estimates_Melting[[#This Row],[A_q measured]])*100</f>
        <v>2.4554210479551966</v>
      </c>
      <c r="V40"/>
      <c r="W40"/>
      <c r="X40"/>
      <c r="Y40"/>
      <c r="Z40"/>
      <c r="AA40"/>
    </row>
    <row r="41" spans="1:27" s="2" customFormat="1" x14ac:dyDescent="0.3">
      <c r="A41" s="3" t="s">
        <v>37</v>
      </c>
      <c r="B41" s="3">
        <v>170</v>
      </c>
      <c r="C41" s="3" t="s">
        <v>10</v>
      </c>
      <c r="D41" s="3">
        <v>1</v>
      </c>
      <c r="E41" s="3">
        <v>2</v>
      </c>
      <c r="F41" s="3">
        <v>17.935800000001304</v>
      </c>
      <c r="G41" s="3">
        <v>365.21590909090946</v>
      </c>
      <c r="H41" s="3">
        <v>20.36239861566715</v>
      </c>
      <c r="I41" s="3" t="str">
        <f>IF(ROWS($I$22:I41)&lt;=n_T,"Training","Validation")</f>
        <v>Training</v>
      </c>
      <c r="J41" s="3">
        <f t="shared" ca="1" si="0"/>
        <v>0.75437246141404979</v>
      </c>
      <c r="K41" s="52"/>
      <c r="L41" s="52"/>
      <c r="M41" s="8"/>
      <c r="N41" s="3"/>
      <c r="O41" s="3">
        <f>Data_Melting[[#This Row],[A_q]]</f>
        <v>365.21590909090946</v>
      </c>
      <c r="P41" s="3">
        <f ca="1">Data_Melting[[#This Row],[A_T]]*$C$11</f>
        <v>368.95798733035451</v>
      </c>
      <c r="Q41" s="3" t="str">
        <f>Data_Melting[[#This Row],[T / V]]</f>
        <v>Training</v>
      </c>
      <c r="R41" s="3">
        <f ca="1">ABS((Estimates_Melting[[#This Row],[A_q predicted (b=0)]]-Estimates_Melting[[#This Row],[A_q measured]])/Estimates_Melting[[#This Row],[A_q measured]])*100</f>
        <v>1.0246208191641433</v>
      </c>
      <c r="V41"/>
      <c r="W41"/>
      <c r="X41"/>
      <c r="Y41"/>
      <c r="Z41"/>
      <c r="AA41"/>
    </row>
    <row r="42" spans="1:27" s="2" customFormat="1" x14ac:dyDescent="0.3">
      <c r="A42" s="3" t="s">
        <v>37</v>
      </c>
      <c r="B42" s="3">
        <v>170</v>
      </c>
      <c r="C42" s="3" t="s">
        <v>10</v>
      </c>
      <c r="D42" s="3">
        <v>0.5</v>
      </c>
      <c r="E42" s="3">
        <v>1</v>
      </c>
      <c r="F42" s="3">
        <v>16.090530088193475</v>
      </c>
      <c r="G42" s="3">
        <v>334.92233180419032</v>
      </c>
      <c r="H42" s="3">
        <v>20.814872472718701</v>
      </c>
      <c r="I42" s="3" t="str">
        <f>IF(ROWS($I$22:I42)&lt;=n_T,"Training","Validation")</f>
        <v>Training</v>
      </c>
      <c r="J42" s="3">
        <f t="shared" ca="1" si="0"/>
        <v>0.91738904057528381</v>
      </c>
      <c r="K42" s="52"/>
      <c r="L42" s="52"/>
      <c r="M42" s="8"/>
      <c r="N42" s="3"/>
      <c r="O42" s="3">
        <f>Data_Melting[[#This Row],[A_q]]</f>
        <v>334.92233180419032</v>
      </c>
      <c r="P42" s="3">
        <f ca="1">Data_Melting[[#This Row],[A_T]]*$C$11</f>
        <v>330.99887356114277</v>
      </c>
      <c r="Q42" s="3" t="str">
        <f>Data_Melting[[#This Row],[T / V]]</f>
        <v>Training</v>
      </c>
      <c r="R42" s="3">
        <f ca="1">ABS((Estimates_Melting[[#This Row],[A_q predicted (b=0)]]-Estimates_Melting[[#This Row],[A_q measured]])/Estimates_Melting[[#This Row],[A_q measured]])*100</f>
        <v>1.171453161069405</v>
      </c>
      <c r="V42"/>
      <c r="W42"/>
      <c r="X42"/>
      <c r="Y42"/>
      <c r="Z42"/>
      <c r="AA42"/>
    </row>
    <row r="43" spans="1:27" s="2" customFormat="1" x14ac:dyDescent="0.3">
      <c r="A43" s="3" t="s">
        <v>12</v>
      </c>
      <c r="B43" s="3">
        <v>170</v>
      </c>
      <c r="C43" s="3" t="s">
        <v>10</v>
      </c>
      <c r="D43" s="3">
        <v>0.5</v>
      </c>
      <c r="E43" s="3">
        <v>1</v>
      </c>
      <c r="F43" s="3">
        <v>10.128440696018268</v>
      </c>
      <c r="G43" s="3">
        <v>212.52860331422897</v>
      </c>
      <c r="H43" s="3">
        <v>20.983348739730392</v>
      </c>
      <c r="I43" s="3" t="str">
        <f>IF(ROWS($I$22:I43)&lt;=n_T,"Training","Validation")</f>
        <v>Validation</v>
      </c>
      <c r="J43" s="3">
        <f t="shared" ca="1" si="0"/>
        <v>0.6398252269831225</v>
      </c>
      <c r="K43" s="52"/>
      <c r="L43" s="52"/>
      <c r="M43" s="8"/>
      <c r="N43" s="3"/>
      <c r="O43" s="3">
        <f>Data_Melting[[#This Row],[A_q]]</f>
        <v>212.52860331422897</v>
      </c>
      <c r="P43" s="3">
        <f ca="1">Data_Melting[[#This Row],[A_T]]*$C$11</f>
        <v>208.35251809216669</v>
      </c>
      <c r="Q43" s="3" t="str">
        <f>Data_Melting[[#This Row],[T / V]]</f>
        <v>Validation</v>
      </c>
      <c r="R43" s="3">
        <f ca="1">ABS((Estimates_Melting[[#This Row],[A_q predicted (b=0)]]-Estimates_Melting[[#This Row],[A_q measured]])/Estimates_Melting[[#This Row],[A_q measured]])*100</f>
        <v>1.9649520850084516</v>
      </c>
      <c r="V43"/>
      <c r="W43"/>
      <c r="X43"/>
      <c r="Y43"/>
      <c r="Z43"/>
      <c r="AA43"/>
    </row>
    <row r="44" spans="1:27" s="2" customFormat="1" x14ac:dyDescent="0.3">
      <c r="A44" s="3" t="s">
        <v>38</v>
      </c>
      <c r="B44" s="3">
        <v>230</v>
      </c>
      <c r="C44" s="3" t="s">
        <v>10</v>
      </c>
      <c r="D44" s="3">
        <v>0.5</v>
      </c>
      <c r="E44" s="3">
        <v>1</v>
      </c>
      <c r="F44" s="3">
        <v>22.067685978047887</v>
      </c>
      <c r="G44" s="3">
        <v>530.44121365596561</v>
      </c>
      <c r="H44" s="3">
        <v>24.037011138532094</v>
      </c>
      <c r="I44" s="3" t="str">
        <f>IF(ROWS($I$22:I44)&lt;=n_T,"Training","Validation")</f>
        <v>Validation</v>
      </c>
      <c r="J44" s="3">
        <f t="shared" ca="1" si="0"/>
        <v>0.88242885979346508</v>
      </c>
      <c r="K44" s="52"/>
      <c r="L44" s="52"/>
      <c r="M44" s="8"/>
      <c r="N44" s="3"/>
      <c r="O44" s="3">
        <f>Data_Melting[[#This Row],[A_q]]</f>
        <v>530.44121365596561</v>
      </c>
      <c r="P44" s="3">
        <f ca="1">Data_Melting[[#This Row],[A_T]]*$C$11</f>
        <v>453.95516249613854</v>
      </c>
      <c r="Q44" s="3" t="str">
        <f>Data_Melting[[#This Row],[T / V]]</f>
        <v>Validation</v>
      </c>
      <c r="R44" s="3">
        <f ca="1">ABS((Estimates_Melting[[#This Row],[A_q predicted (b=0)]]-Estimates_Melting[[#This Row],[A_q measured]])/Estimates_Melting[[#This Row],[A_q measured]])*100</f>
        <v>14.419326626726731</v>
      </c>
      <c r="V44"/>
      <c r="W44"/>
      <c r="X44"/>
      <c r="Y44"/>
      <c r="Z44"/>
      <c r="AA44"/>
    </row>
    <row r="45" spans="1:27" s="2" customFormat="1" x14ac:dyDescent="0.3">
      <c r="A45" s="3" t="s">
        <v>8</v>
      </c>
      <c r="B45" s="3">
        <v>170</v>
      </c>
      <c r="C45" s="3" t="s">
        <v>10</v>
      </c>
      <c r="D45" s="3">
        <v>1</v>
      </c>
      <c r="E45" s="3">
        <v>3</v>
      </c>
      <c r="F45" s="3">
        <v>7.872829771852226</v>
      </c>
      <c r="G45" s="3">
        <v>156.15565369073173</v>
      </c>
      <c r="H45" s="3">
        <v>19.834755509262493</v>
      </c>
      <c r="I45" s="3" t="str">
        <f>IF(ROWS($I$22:I45)&lt;=n_T,"Training","Validation")</f>
        <v>Validation</v>
      </c>
      <c r="J45" s="3">
        <f t="shared" ca="1" si="0"/>
        <v>6.2070419187071346E-3</v>
      </c>
      <c r="K45" s="52"/>
      <c r="L45" s="52"/>
      <c r="M45" s="8"/>
      <c r="N45" s="3"/>
      <c r="O45" s="3">
        <f>Data_Melting[[#This Row],[A_q]]</f>
        <v>156.15565369073173</v>
      </c>
      <c r="P45" s="3">
        <f ca="1">Data_Melting[[#This Row],[A_T]]*$C$11</f>
        <v>161.95226458908328</v>
      </c>
      <c r="Q45" s="3" t="str">
        <f>Data_Melting[[#This Row],[T / V]]</f>
        <v>Validation</v>
      </c>
      <c r="R45" s="3">
        <f ca="1">ABS((Estimates_Melting[[#This Row],[A_q predicted (b=0)]]-Estimates_Melting[[#This Row],[A_q measured]])/Estimates_Melting[[#This Row],[A_q measured]])*100</f>
        <v>3.712072385052303</v>
      </c>
      <c r="V45"/>
      <c r="W45"/>
      <c r="X45"/>
      <c r="Y45"/>
      <c r="Z45"/>
      <c r="AA45"/>
    </row>
    <row r="46" spans="1:27" s="2" customFormat="1" x14ac:dyDescent="0.3">
      <c r="A46" s="3" t="s">
        <v>11</v>
      </c>
      <c r="B46" s="3">
        <v>170</v>
      </c>
      <c r="C46" s="3" t="s">
        <v>10</v>
      </c>
      <c r="D46" s="3">
        <v>1</v>
      </c>
      <c r="E46" s="3">
        <v>3</v>
      </c>
      <c r="F46" s="3">
        <v>11.550733538461678</v>
      </c>
      <c r="G46" s="3">
        <v>217.63550879854768</v>
      </c>
      <c r="H46" s="3">
        <v>18.84170456134791</v>
      </c>
      <c r="I46" s="3" t="str">
        <f>IF(ROWS($I$22:I46)&lt;=n_T,"Training","Validation")</f>
        <v>Validation</v>
      </c>
      <c r="J46" s="3">
        <f t="shared" ca="1" si="0"/>
        <v>0.89024674859786079</v>
      </c>
      <c r="K46" s="52"/>
      <c r="L46" s="52"/>
      <c r="M46" s="8"/>
      <c r="N46" s="3"/>
      <c r="O46" s="3">
        <f>Data_Melting[[#This Row],[A_q]]</f>
        <v>217.63550879854768</v>
      </c>
      <c r="P46" s="3">
        <f ca="1">Data_Melting[[#This Row],[A_T]]*$C$11</f>
        <v>237.61055534404568</v>
      </c>
      <c r="Q46" s="3" t="str">
        <f>Data_Melting[[#This Row],[T / V]]</f>
        <v>Validation</v>
      </c>
      <c r="R46" s="3">
        <f ca="1">ABS((Estimates_Melting[[#This Row],[A_q predicted (b=0)]]-Estimates_Melting[[#This Row],[A_q measured]])/Estimates_Melting[[#This Row],[A_q measured]])*100</f>
        <v>9.1782111548661494</v>
      </c>
      <c r="V46"/>
      <c r="W46"/>
      <c r="X46"/>
      <c r="Y46"/>
      <c r="Z46"/>
      <c r="AA46"/>
    </row>
    <row r="47" spans="1:27" s="2" customFormat="1" x14ac:dyDescent="0.3">
      <c r="A47" s="3" t="s">
        <v>8</v>
      </c>
      <c r="B47" s="3">
        <v>170</v>
      </c>
      <c r="C47" s="3" t="s">
        <v>10</v>
      </c>
      <c r="D47" s="3">
        <v>1</v>
      </c>
      <c r="E47" s="3">
        <v>1</v>
      </c>
      <c r="F47" s="3">
        <v>7.7868000000008877</v>
      </c>
      <c r="G47" s="3">
        <v>134.81040000000056</v>
      </c>
      <c r="H47" s="3">
        <v>17.312683002001489</v>
      </c>
      <c r="I47" s="3" t="str">
        <f>IF(ROWS($I$22:I47)&lt;=n_T,"Training","Validation")</f>
        <v>Validation</v>
      </c>
      <c r="J47" s="3">
        <f t="shared" ca="1" si="0"/>
        <v>7.4621315807253619E-2</v>
      </c>
      <c r="K47" s="52"/>
      <c r="L47" s="52"/>
      <c r="M47" s="8"/>
      <c r="N47" s="3"/>
      <c r="O47" s="3">
        <f>Data_Melting[[#This Row],[A_q]]</f>
        <v>134.81040000000056</v>
      </c>
      <c r="P47" s="3">
        <f ca="1">Data_Melting[[#This Row],[A_T]]*$C$11</f>
        <v>160.18254305601775</v>
      </c>
      <c r="Q47" s="3" t="str">
        <f>Data_Melting[[#This Row],[T / V]]</f>
        <v>Validation</v>
      </c>
      <c r="R47" s="3">
        <f ca="1">ABS((Estimates_Melting[[#This Row],[A_q predicted (b=0)]]-Estimates_Melting[[#This Row],[A_q measured]])/Estimates_Melting[[#This Row],[A_q measured]])*100</f>
        <v>18.820612546225728</v>
      </c>
      <c r="V47"/>
      <c r="W47"/>
      <c r="X47"/>
      <c r="Y47"/>
      <c r="Z47"/>
      <c r="AA47"/>
    </row>
    <row r="48" spans="1:27" s="2" customFormat="1" x14ac:dyDescent="0.3">
      <c r="A48" s="3" t="s">
        <v>8</v>
      </c>
      <c r="B48" s="3">
        <v>170</v>
      </c>
      <c r="C48" s="3" t="s">
        <v>10</v>
      </c>
      <c r="D48" s="3">
        <v>1</v>
      </c>
      <c r="E48" s="3">
        <v>2</v>
      </c>
      <c r="F48" s="3">
        <v>9.3620263278695397</v>
      </c>
      <c r="G48" s="3">
        <v>159.24805774971134</v>
      </c>
      <c r="H48" s="3">
        <v>17.009998922525028</v>
      </c>
      <c r="I48" s="3" t="str">
        <f>IF(ROWS($I$22:I48)&lt;=n_T,"Training","Validation")</f>
        <v>Validation</v>
      </c>
      <c r="J48" s="3">
        <f t="shared" ca="1" si="0"/>
        <v>0.76178506999490492</v>
      </c>
      <c r="K48" s="52"/>
      <c r="L48" s="52"/>
      <c r="M48" s="8"/>
      <c r="N48" s="3"/>
      <c r="O48" s="3">
        <f>Data_Melting[[#This Row],[A_q]]</f>
        <v>159.24805774971134</v>
      </c>
      <c r="P48" s="3">
        <f ca="1">Data_Melting[[#This Row],[A_T]]*$C$11</f>
        <v>192.58658054083361</v>
      </c>
      <c r="Q48" s="3" t="str">
        <f>Data_Melting[[#This Row],[T / V]]</f>
        <v>Validation</v>
      </c>
      <c r="R48" s="3">
        <f ca="1">ABS((Estimates_Melting[[#This Row],[A_q predicted (b=0)]]-Estimates_Melting[[#This Row],[A_q measured]])/Estimates_Melting[[#This Row],[A_q measured]])*100</f>
        <v>20.934963516804778</v>
      </c>
      <c r="V48"/>
      <c r="W48"/>
      <c r="X48"/>
      <c r="Y48"/>
      <c r="Z48"/>
      <c r="AA48"/>
    </row>
    <row r="49" spans="1:27" s="2" customFormat="1" x14ac:dyDescent="0.3">
      <c r="A49" s="3" t="s">
        <v>38</v>
      </c>
      <c r="B49" s="3">
        <v>230</v>
      </c>
      <c r="C49" s="3" t="s">
        <v>10</v>
      </c>
      <c r="D49" s="3">
        <v>1</v>
      </c>
      <c r="E49" s="3">
        <v>3</v>
      </c>
      <c r="F49" s="3">
        <v>26.999051764701608</v>
      </c>
      <c r="G49" s="3">
        <v>498.93304243764453</v>
      </c>
      <c r="H49" s="3">
        <v>18.479650573874839</v>
      </c>
      <c r="I49" s="3" t="str">
        <f>IF(ROWS($I$22:I49)&lt;=n_T,"Training","Validation")</f>
        <v>Validation</v>
      </c>
      <c r="J49" s="3">
        <f t="shared" ca="1" si="0"/>
        <v>0.70227419477782682</v>
      </c>
      <c r="K49" s="52"/>
      <c r="L49" s="52"/>
      <c r="M49" s="8"/>
      <c r="N49" s="3"/>
      <c r="O49" s="3">
        <f>Data_Melting[[#This Row],[A_q]]</f>
        <v>498.93304243764453</v>
      </c>
      <c r="P49" s="3">
        <f ca="1">Data_Melting[[#This Row],[A_T]]*$C$11</f>
        <v>555.39846557898932</v>
      </c>
      <c r="Q49" s="3" t="str">
        <f>Data_Melting[[#This Row],[T / V]]</f>
        <v>Validation</v>
      </c>
      <c r="R49" s="3">
        <f ca="1">ABS((Estimates_Melting[[#This Row],[A_q predicted (b=0)]]-Estimates_Melting[[#This Row],[A_q measured]])/Estimates_Melting[[#This Row],[A_q measured]])*100</f>
        <v>11.317234646450922</v>
      </c>
      <c r="V49"/>
      <c r="W49"/>
      <c r="X49"/>
      <c r="Y49"/>
      <c r="Z49"/>
      <c r="AA49"/>
    </row>
    <row r="50" spans="1:27" s="2" customFormat="1" x14ac:dyDescent="0.3">
      <c r="A50" s="3" t="s">
        <v>8</v>
      </c>
      <c r="B50" s="3">
        <v>170</v>
      </c>
      <c r="C50" s="3" t="s">
        <v>10</v>
      </c>
      <c r="D50" s="3">
        <v>0.5</v>
      </c>
      <c r="E50" s="3">
        <v>3</v>
      </c>
      <c r="F50" s="3">
        <v>6.6891725519443357</v>
      </c>
      <c r="G50" s="3">
        <v>134.90327528622092</v>
      </c>
      <c r="H50" s="3">
        <v>20.167408485674166</v>
      </c>
      <c r="I50" s="3" t="str">
        <f>IF(ROWS($I$22:I50)&lt;=n_T,"Training","Validation")</f>
        <v>Validation</v>
      </c>
      <c r="J50" s="3">
        <f t="shared" ca="1" si="0"/>
        <v>0.66290647988798257</v>
      </c>
      <c r="K50" s="52"/>
      <c r="L50" s="52"/>
      <c r="M50" s="8"/>
      <c r="N50" s="3"/>
      <c r="O50" s="3">
        <f>Data_Melting[[#This Row],[A_q]]</f>
        <v>134.90327528622092</v>
      </c>
      <c r="P50" s="3">
        <f ca="1">Data_Melting[[#This Row],[A_T]]*$C$11</f>
        <v>137.6032093171564</v>
      </c>
      <c r="Q50" s="3" t="str">
        <f>Data_Melting[[#This Row],[T / V]]</f>
        <v>Validation</v>
      </c>
      <c r="R50" s="3">
        <f ca="1">ABS((Estimates_Melting[[#This Row],[A_q predicted (b=0)]]-Estimates_Melting[[#This Row],[A_q measured]])/Estimates_Melting[[#This Row],[A_q measured]])*100</f>
        <v>2.0013850851338471</v>
      </c>
      <c r="V50"/>
      <c r="W50"/>
      <c r="X50"/>
      <c r="Y50"/>
      <c r="Z50"/>
      <c r="AA50"/>
    </row>
    <row r="51" spans="1:27" s="2" customFormat="1" x14ac:dyDescent="0.3">
      <c r="A51" s="3" t="s">
        <v>37</v>
      </c>
      <c r="B51" s="3">
        <v>170</v>
      </c>
      <c r="C51" s="3" t="s">
        <v>10</v>
      </c>
      <c r="D51" s="3">
        <v>0.5</v>
      </c>
      <c r="E51" s="3">
        <v>3</v>
      </c>
      <c r="F51" s="3">
        <v>15.294906027162749</v>
      </c>
      <c r="G51" s="3">
        <v>318.35937208508204</v>
      </c>
      <c r="H51" s="3">
        <v>20.814732141518011</v>
      </c>
      <c r="I51" s="3" t="str">
        <f>IF(ROWS($I$22:I51)&lt;=n_T,"Training","Validation")</f>
        <v>Validation</v>
      </c>
      <c r="J51" s="3">
        <f t="shared" ca="1" si="0"/>
        <v>0.84399108800695499</v>
      </c>
      <c r="K51" s="52"/>
      <c r="L51" s="52"/>
      <c r="M51" s="8"/>
      <c r="N51" s="3"/>
      <c r="O51" s="3">
        <f>Data_Melting[[#This Row],[A_q]]</f>
        <v>318.35937208508204</v>
      </c>
      <c r="P51" s="3">
        <f ca="1">Data_Melting[[#This Row],[A_T]]*$C$11</f>
        <v>314.63206236624325</v>
      </c>
      <c r="Q51" s="3" t="str">
        <f>Data_Melting[[#This Row],[T / V]]</f>
        <v>Validation</v>
      </c>
      <c r="R51" s="3">
        <f ca="1">ABS((Estimates_Melting[[#This Row],[A_q predicted (b=0)]]-Estimates_Melting[[#This Row],[A_q measured]])/Estimates_Melting[[#This Row],[A_q measured]])*100</f>
        <v>1.1707868671894062</v>
      </c>
      <c r="V51"/>
      <c r="W51"/>
      <c r="X51"/>
      <c r="Y51"/>
      <c r="Z51"/>
      <c r="AA51"/>
    </row>
    <row r="52" spans="1:27" s="2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52"/>
      <c r="L52" s="52"/>
      <c r="M52" s="8"/>
      <c r="N52" s="3"/>
      <c r="O52" s="3"/>
      <c r="P52" s="3"/>
      <c r="Q52" s="3"/>
      <c r="R52" s="3"/>
      <c r="V52"/>
      <c r="W52"/>
      <c r="X52"/>
      <c r="Y52"/>
      <c r="Z52"/>
      <c r="AA52"/>
    </row>
    <row r="53" spans="1:27" s="2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52"/>
      <c r="L53" s="52"/>
      <c r="M53" s="8"/>
      <c r="N53" s="3"/>
      <c r="O53" s="3"/>
      <c r="P53" s="3"/>
      <c r="Q53" s="3"/>
      <c r="R53" s="3"/>
      <c r="V53"/>
      <c r="W53"/>
      <c r="X53"/>
      <c r="Y53"/>
      <c r="Z53"/>
      <c r="AA53"/>
    </row>
    <row r="54" spans="1:27" s="2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52"/>
      <c r="L54" s="52"/>
      <c r="M54" s="8"/>
      <c r="N54" s="3"/>
      <c r="O54" s="3"/>
      <c r="P54" s="3"/>
      <c r="Q54" s="3"/>
      <c r="R54" s="3"/>
      <c r="V54"/>
      <c r="W54"/>
      <c r="X54"/>
      <c r="Y54"/>
      <c r="Z54"/>
      <c r="AA54"/>
    </row>
    <row r="55" spans="1:27" s="2" customFormat="1" x14ac:dyDescent="0.3">
      <c r="A55" s="55" t="str" cm="1">
        <f t="array" aca="1" ref="A55:J75" ca="1">_xlfn._xlws.FILTER(Data_Melting[],Data_Melting[T / V]="Training")</f>
        <v>RT18</v>
      </c>
      <c r="B55" s="65">
        <f ca="1"/>
        <v>230</v>
      </c>
      <c r="C55" s="65" t="str">
        <f ca="1"/>
        <v>Melting</v>
      </c>
      <c r="D55" s="65">
        <f ca="1"/>
        <v>0.5</v>
      </c>
      <c r="E55" s="65">
        <f ca="1"/>
        <v>2</v>
      </c>
      <c r="F55" s="65">
        <f ca="1"/>
        <v>22.836000000008426</v>
      </c>
      <c r="G55" s="65">
        <f ca="1"/>
        <v>554.20560000000489</v>
      </c>
      <c r="H55" s="65">
        <f ca="1"/>
        <v>24.268943772981274</v>
      </c>
      <c r="I55" s="65" t="str">
        <f ca="1"/>
        <v>Training</v>
      </c>
      <c r="J55" s="66">
        <f ca="1"/>
        <v>6.7590377120987699E-2</v>
      </c>
      <c r="K55" s="21">
        <f t="shared" ref="K55:K75" ca="1" si="1">G55-$C$11*F55</f>
        <v>84.445422105599789</v>
      </c>
      <c r="L55" s="21">
        <f t="shared" ref="L55:L75" ca="1" si="2">G55-AVERAGE($G$55:$G$76)</f>
        <v>252.9363639243013</v>
      </c>
      <c r="M55" s="54"/>
      <c r="N55" s="53"/>
      <c r="O55" s="55" cm="1">
        <f t="array" aca="1" ref="O55:R75" ca="1">_xlfn._xlws.FILTER(Estimates_Melting[],Estimates_Melting[T / V]="Training")</f>
        <v>554.20560000000489</v>
      </c>
      <c r="P55" s="65">
        <f ca="1"/>
        <v>469.7601778944051</v>
      </c>
      <c r="Q55" s="65" t="str">
        <f ca="1"/>
        <v>Training</v>
      </c>
      <c r="R55" s="66">
        <f ca="1"/>
        <v>15.237201158847736</v>
      </c>
      <c r="V55"/>
      <c r="W55"/>
      <c r="X55"/>
      <c r="Y55"/>
      <c r="Z55"/>
      <c r="AA55"/>
    </row>
    <row r="56" spans="1:27" s="2" customFormat="1" x14ac:dyDescent="0.3">
      <c r="A56" s="67" t="str">
        <f ca="1"/>
        <v>RT18</v>
      </c>
      <c r="B56" s="53">
        <f ca="1"/>
        <v>230</v>
      </c>
      <c r="C56" s="53" t="str">
        <f ca="1"/>
        <v>Melting</v>
      </c>
      <c r="D56" s="53">
        <f ca="1"/>
        <v>0.5</v>
      </c>
      <c r="E56" s="53">
        <f ca="1"/>
        <v>3</v>
      </c>
      <c r="F56" s="53">
        <f ca="1"/>
        <v>22.421999999999997</v>
      </c>
      <c r="G56" s="53">
        <f ca="1"/>
        <v>526.93979999999999</v>
      </c>
      <c r="H56" s="53">
        <f ca="1"/>
        <v>23.50101686</v>
      </c>
      <c r="I56" s="53" t="str">
        <f ca="1"/>
        <v>Training</v>
      </c>
      <c r="J56" s="68">
        <f ca="1"/>
        <v>0.78618595722963569</v>
      </c>
      <c r="K56" s="21">
        <f t="shared" ca="1" si="1"/>
        <v>65.696031006110331</v>
      </c>
      <c r="L56" s="21">
        <f t="shared" ca="1" si="2"/>
        <v>225.6705639242964</v>
      </c>
      <c r="M56" s="54"/>
      <c r="N56" s="53"/>
      <c r="O56" s="67">
        <f ca="1"/>
        <v>526.93979999999999</v>
      </c>
      <c r="P56" s="53">
        <f ca="1"/>
        <v>461.24376899388966</v>
      </c>
      <c r="Q56" s="53" t="str">
        <f ca="1"/>
        <v>Training</v>
      </c>
      <c r="R56" s="68">
        <f ca="1"/>
        <v>12.467464216236907</v>
      </c>
      <c r="V56"/>
      <c r="W56"/>
      <c r="X56"/>
      <c r="Y56"/>
      <c r="Z56"/>
      <c r="AA56"/>
    </row>
    <row r="57" spans="1:27" s="2" customFormat="1" x14ac:dyDescent="0.3">
      <c r="A57" s="67" t="str">
        <f ca="1"/>
        <v>RT24</v>
      </c>
      <c r="B57" s="53">
        <f ca="1"/>
        <v>170</v>
      </c>
      <c r="C57" s="53" t="str">
        <f ca="1"/>
        <v>Melting</v>
      </c>
      <c r="D57" s="53">
        <f ca="1"/>
        <v>1</v>
      </c>
      <c r="E57" s="53">
        <f ca="1"/>
        <v>2</v>
      </c>
      <c r="F57" s="53">
        <f ca="1"/>
        <v>11.275199999993378</v>
      </c>
      <c r="G57" s="53">
        <f ca="1"/>
        <v>242.68199999999433</v>
      </c>
      <c r="H57" s="53">
        <f ca="1"/>
        <v>21.523520647096007</v>
      </c>
      <c r="I57" s="53" t="str">
        <f ca="1"/>
        <v>Training</v>
      </c>
      <c r="J57" s="68">
        <f ca="1"/>
        <v>0.20330492019008728</v>
      </c>
      <c r="K57" s="21">
        <f t="shared" ca="1" si="1"/>
        <v>10.739454992552965</v>
      </c>
      <c r="L57" s="21">
        <f t="shared" ca="1" si="2"/>
        <v>-58.587236075709257</v>
      </c>
      <c r="M57" s="54"/>
      <c r="N57" s="53"/>
      <c r="O57" s="67">
        <f ca="1"/>
        <v>242.68199999999433</v>
      </c>
      <c r="P57" s="53">
        <f ca="1"/>
        <v>231.94254500744137</v>
      </c>
      <c r="Q57" s="53" t="str">
        <f ca="1"/>
        <v>Training</v>
      </c>
      <c r="R57" s="68">
        <f ca="1"/>
        <v>4.4253199629775652</v>
      </c>
      <c r="V57"/>
      <c r="W57"/>
      <c r="X57"/>
      <c r="Y57"/>
      <c r="Z57"/>
      <c r="AA57"/>
    </row>
    <row r="58" spans="1:27" s="2" customFormat="1" x14ac:dyDescent="0.3">
      <c r="A58" s="67" t="str">
        <f ca="1"/>
        <v>RT18</v>
      </c>
      <c r="B58" s="53">
        <f ca="1"/>
        <v>230</v>
      </c>
      <c r="C58" s="53" t="str">
        <f ca="1"/>
        <v>Melting</v>
      </c>
      <c r="D58" s="53">
        <f ca="1"/>
        <v>1</v>
      </c>
      <c r="E58" s="53">
        <f ca="1"/>
        <v>1</v>
      </c>
      <c r="F58" s="53">
        <f ca="1"/>
        <v>27.071048094113475</v>
      </c>
      <c r="G58" s="53">
        <f ca="1"/>
        <v>497.44749309176234</v>
      </c>
      <c r="H58" s="53">
        <f ca="1"/>
        <v>18.37562739951435</v>
      </c>
      <c r="I58" s="53" t="str">
        <f ca="1"/>
        <v>Training</v>
      </c>
      <c r="J58" s="68">
        <f ca="1"/>
        <v>0.15389390448209128</v>
      </c>
      <c r="K58" s="21">
        <f t="shared" ca="1" si="1"/>
        <v>-59.432011570790223</v>
      </c>
      <c r="L58" s="21">
        <f t="shared" ca="1" si="2"/>
        <v>196.17825701605875</v>
      </c>
      <c r="M58" s="54"/>
      <c r="N58" s="53"/>
      <c r="O58" s="67">
        <f ca="1"/>
        <v>497.44749309176234</v>
      </c>
      <c r="P58" s="53">
        <f ca="1"/>
        <v>556.87950466255256</v>
      </c>
      <c r="Q58" s="53" t="str">
        <f ca="1"/>
        <v>Training</v>
      </c>
      <c r="R58" s="68">
        <f ca="1"/>
        <v>11.947393925217153</v>
      </c>
      <c r="V58"/>
      <c r="W58"/>
      <c r="X58"/>
      <c r="Y58"/>
      <c r="Z58"/>
      <c r="AA58"/>
    </row>
    <row r="59" spans="1:27" s="2" customFormat="1" x14ac:dyDescent="0.3">
      <c r="A59" s="67" t="str">
        <f ca="1"/>
        <v>RT8</v>
      </c>
      <c r="B59" s="53">
        <f ca="1"/>
        <v>170</v>
      </c>
      <c r="C59" s="53" t="str">
        <f ca="1"/>
        <v>Melting</v>
      </c>
      <c r="D59" s="53">
        <f ca="1"/>
        <v>0.5</v>
      </c>
      <c r="E59" s="53">
        <f ca="1"/>
        <v>1</v>
      </c>
      <c r="F59" s="53">
        <f ca="1"/>
        <v>8.0972999999946342</v>
      </c>
      <c r="G59" s="53">
        <f ca="1"/>
        <v>166.90619999999905</v>
      </c>
      <c r="H59" s="53">
        <f ca="1"/>
        <v>20.612574561904541</v>
      </c>
      <c r="I59" s="53" t="str">
        <f ca="1"/>
        <v>Training</v>
      </c>
      <c r="J59" s="68">
        <f ca="1"/>
        <v>0.29731234696059294</v>
      </c>
      <c r="K59" s="21">
        <f t="shared" ca="1" si="1"/>
        <v>0.33635026885337993</v>
      </c>
      <c r="L59" s="21">
        <f t="shared" ca="1" si="2"/>
        <v>-134.36303607570454</v>
      </c>
      <c r="M59" s="54"/>
      <c r="N59" s="53"/>
      <c r="O59" s="67">
        <f ca="1"/>
        <v>166.90619999999905</v>
      </c>
      <c r="P59" s="53">
        <f ca="1"/>
        <v>166.56984973114567</v>
      </c>
      <c r="Q59" s="53" t="str">
        <f ca="1"/>
        <v>Training</v>
      </c>
      <c r="R59" s="68">
        <f ca="1"/>
        <v>0.20152053599769323</v>
      </c>
      <c r="V59"/>
      <c r="W59"/>
      <c r="X59"/>
      <c r="Y59"/>
      <c r="Z59"/>
      <c r="AA59"/>
    </row>
    <row r="60" spans="1:27" s="2" customFormat="1" x14ac:dyDescent="0.3">
      <c r="A60" s="67" t="str">
        <f ca="1"/>
        <v>RT24</v>
      </c>
      <c r="B60" s="53">
        <f ca="1"/>
        <v>170</v>
      </c>
      <c r="C60" s="53" t="str">
        <f ca="1"/>
        <v>Melting</v>
      </c>
      <c r="D60" s="53">
        <f ca="1"/>
        <v>1</v>
      </c>
      <c r="E60" s="53">
        <f ca="1"/>
        <v>1</v>
      </c>
      <c r="F60" s="53">
        <f ca="1"/>
        <v>13.042056671598727</v>
      </c>
      <c r="G60" s="53">
        <f ca="1"/>
        <v>266.10625346834951</v>
      </c>
      <c r="H60" s="53">
        <f ca="1"/>
        <v>20.403703201799502</v>
      </c>
      <c r="I60" s="53" t="str">
        <f ca="1"/>
        <v>Training</v>
      </c>
      <c r="J60" s="68">
        <f ca="1"/>
        <v>0.3457078370857688</v>
      </c>
      <c r="K60" s="21">
        <f t="shared" ca="1" si="1"/>
        <v>-2.1823637219145553</v>
      </c>
      <c r="L60" s="21">
        <f t="shared" ca="1" si="2"/>
        <v>-35.162982607354081</v>
      </c>
      <c r="M60" s="54"/>
      <c r="N60" s="53"/>
      <c r="O60" s="67">
        <f ca="1"/>
        <v>266.10625346834951</v>
      </c>
      <c r="P60" s="53">
        <f ca="1"/>
        <v>268.28861719026406</v>
      </c>
      <c r="Q60" s="53" t="str">
        <f ca="1"/>
        <v>Training</v>
      </c>
      <c r="R60" s="68">
        <f ca="1"/>
        <v>0.82010989725730898</v>
      </c>
      <c r="V60"/>
      <c r="W60"/>
      <c r="X60"/>
      <c r="Y60"/>
      <c r="Z60"/>
      <c r="AA60"/>
    </row>
    <row r="61" spans="1:27" s="2" customFormat="1" x14ac:dyDescent="0.3">
      <c r="A61" s="67" t="str">
        <f ca="1"/>
        <v>RT11</v>
      </c>
      <c r="B61" s="53">
        <f ca="1"/>
        <v>170</v>
      </c>
      <c r="C61" s="53" t="str">
        <f ca="1"/>
        <v>Melting</v>
      </c>
      <c r="D61" s="53">
        <f ca="1"/>
        <v>0.5</v>
      </c>
      <c r="E61" s="53">
        <f ca="1"/>
        <v>1</v>
      </c>
      <c r="F61" s="53">
        <f ca="1"/>
        <v>12.236660066643104</v>
      </c>
      <c r="G61" s="53">
        <f ca="1"/>
        <v>246.42412532412126</v>
      </c>
      <c r="H61" s="53">
        <f ca="1"/>
        <v>20.138185091524168</v>
      </c>
      <c r="I61" s="53" t="str">
        <f ca="1"/>
        <v>Training</v>
      </c>
      <c r="J61" s="68">
        <f ca="1"/>
        <v>8.6898549732119523E-3</v>
      </c>
      <c r="K61" s="21">
        <f t="shared" ca="1" si="1"/>
        <v>-5.2966493184390231</v>
      </c>
      <c r="L61" s="21">
        <f t="shared" ca="1" si="2"/>
        <v>-54.845110751582325</v>
      </c>
      <c r="M61" s="54"/>
      <c r="N61" s="53"/>
      <c r="O61" s="67">
        <f ca="1"/>
        <v>246.42412532412126</v>
      </c>
      <c r="P61" s="53">
        <f ca="1"/>
        <v>251.72077464256029</v>
      </c>
      <c r="Q61" s="53" t="str">
        <f ca="1"/>
        <v>Training</v>
      </c>
      <c r="R61" s="68">
        <f ca="1"/>
        <v>2.1494037207080878</v>
      </c>
      <c r="V61"/>
      <c r="W61"/>
      <c r="X61"/>
      <c r="Y61"/>
      <c r="Z61"/>
      <c r="AA61"/>
    </row>
    <row r="62" spans="1:27" s="2" customFormat="1" x14ac:dyDescent="0.3">
      <c r="A62" s="67" t="str">
        <f ca="1"/>
        <v>RT24</v>
      </c>
      <c r="B62" s="53">
        <f ca="1"/>
        <v>170</v>
      </c>
      <c r="C62" s="53" t="str">
        <f ca="1"/>
        <v>Melting</v>
      </c>
      <c r="D62" s="53">
        <f ca="1"/>
        <v>1</v>
      </c>
      <c r="E62" s="53">
        <f ca="1"/>
        <v>3</v>
      </c>
      <c r="F62" s="53">
        <f ca="1"/>
        <v>7.7994267951314544</v>
      </c>
      <c r="G62" s="53">
        <f ca="1"/>
        <v>182.63889794765294</v>
      </c>
      <c r="H62" s="53">
        <f ca="1"/>
        <v>23.416964187888716</v>
      </c>
      <c r="I62" s="53" t="str">
        <f ca="1"/>
        <v>Training</v>
      </c>
      <c r="J62" s="68">
        <f ca="1"/>
        <v>0.71617226161408809</v>
      </c>
      <c r="K62" s="21">
        <f t="shared" ca="1" si="1"/>
        <v>22.196608634551239</v>
      </c>
      <c r="L62" s="21">
        <f t="shared" ca="1" si="2"/>
        <v>-118.63033812805065</v>
      </c>
      <c r="M62" s="54"/>
      <c r="N62" s="53"/>
      <c r="O62" s="67">
        <f ca="1"/>
        <v>182.63889794765294</v>
      </c>
      <c r="P62" s="53">
        <f ca="1"/>
        <v>160.4422893131017</v>
      </c>
      <c r="Q62" s="53" t="str">
        <f ca="1"/>
        <v>Training</v>
      </c>
      <c r="R62" s="68">
        <f ca="1"/>
        <v>12.153275607758607</v>
      </c>
      <c r="V62"/>
      <c r="W62"/>
      <c r="X62"/>
      <c r="Y62"/>
      <c r="Z62"/>
      <c r="AA62"/>
    </row>
    <row r="63" spans="1:27" s="2" customFormat="1" x14ac:dyDescent="0.3">
      <c r="A63" s="67" t="str">
        <f ca="1"/>
        <v>RT11</v>
      </c>
      <c r="B63" s="53">
        <f ca="1"/>
        <v>170</v>
      </c>
      <c r="C63" s="53" t="str">
        <f ca="1"/>
        <v>Melting</v>
      </c>
      <c r="D63" s="53">
        <f ca="1"/>
        <v>0.5</v>
      </c>
      <c r="E63" s="53">
        <f ca="1"/>
        <v>2</v>
      </c>
      <c r="F63" s="53">
        <f ca="1"/>
        <v>12.778499999994182</v>
      </c>
      <c r="G63" s="53">
        <f ca="1"/>
        <v>247.45169999999919</v>
      </c>
      <c r="H63" s="53">
        <f ca="1"/>
        <v>19.364690691404459</v>
      </c>
      <c r="I63" s="53" t="str">
        <f ca="1"/>
        <v>Training</v>
      </c>
      <c r="J63" s="68">
        <f ca="1"/>
        <v>0.37367982398305877</v>
      </c>
      <c r="K63" s="21">
        <f t="shared" ca="1" si="1"/>
        <v>-15.415283412976265</v>
      </c>
      <c r="L63" s="21">
        <f t="shared" ca="1" si="2"/>
        <v>-53.817536075704396</v>
      </c>
      <c r="M63" s="54"/>
      <c r="N63" s="53"/>
      <c r="O63" s="67">
        <f ca="1"/>
        <v>247.45169999999919</v>
      </c>
      <c r="P63" s="53">
        <f ca="1"/>
        <v>262.86698341297546</v>
      </c>
      <c r="Q63" s="53" t="str">
        <f ca="1"/>
        <v>Training</v>
      </c>
      <c r="R63" s="68">
        <f ca="1"/>
        <v>6.2296130570031707</v>
      </c>
      <c r="V63"/>
      <c r="W63"/>
      <c r="X63"/>
      <c r="Y63"/>
      <c r="Z63"/>
      <c r="AA63"/>
    </row>
    <row r="64" spans="1:27" s="2" customFormat="1" x14ac:dyDescent="0.3">
      <c r="A64" s="67" t="str">
        <f ca="1"/>
        <v>RT24</v>
      </c>
      <c r="B64" s="53">
        <f ca="1"/>
        <v>170</v>
      </c>
      <c r="C64" s="53" t="str">
        <f ca="1"/>
        <v>Melting</v>
      </c>
      <c r="D64" s="53">
        <f ca="1"/>
        <v>0.5</v>
      </c>
      <c r="E64" s="53">
        <f ca="1"/>
        <v>2</v>
      </c>
      <c r="F64" s="53">
        <f ca="1"/>
        <v>11.275199999993378</v>
      </c>
      <c r="G64" s="53">
        <f ca="1"/>
        <v>242.68199999999433</v>
      </c>
      <c r="H64" s="53">
        <f ca="1"/>
        <v>21.523520647096007</v>
      </c>
      <c r="I64" s="53" t="str">
        <f ca="1"/>
        <v>Training</v>
      </c>
      <c r="J64" s="68">
        <f ca="1"/>
        <v>0.54121360782093275</v>
      </c>
      <c r="K64" s="21">
        <f t="shared" ca="1" si="1"/>
        <v>10.739454992552965</v>
      </c>
      <c r="L64" s="21">
        <f t="shared" ca="1" si="2"/>
        <v>-58.587236075709257</v>
      </c>
      <c r="M64" s="54"/>
      <c r="N64" s="53"/>
      <c r="O64" s="67">
        <f ca="1"/>
        <v>242.68199999999433</v>
      </c>
      <c r="P64" s="53">
        <f ca="1"/>
        <v>231.94254500744137</v>
      </c>
      <c r="Q64" s="53" t="str">
        <f ca="1"/>
        <v>Training</v>
      </c>
      <c r="R64" s="68">
        <f ca="1"/>
        <v>4.4253199629775652</v>
      </c>
      <c r="V64"/>
      <c r="W64"/>
      <c r="X64"/>
      <c r="Y64"/>
      <c r="Z64"/>
      <c r="AA64"/>
    </row>
    <row r="65" spans="1:27" s="2" customFormat="1" x14ac:dyDescent="0.3">
      <c r="A65" s="67" t="str">
        <f ca="1"/>
        <v>RT8 (15mm)</v>
      </c>
      <c r="B65" s="53">
        <f ca="1"/>
        <v>170</v>
      </c>
      <c r="C65" s="53" t="str">
        <f ca="1"/>
        <v>Melting</v>
      </c>
      <c r="D65" s="53">
        <f ca="1"/>
        <v>1</v>
      </c>
      <c r="E65" s="53">
        <f ca="1"/>
        <v>3</v>
      </c>
      <c r="F65" s="53">
        <f ca="1"/>
        <v>17.970455508345797</v>
      </c>
      <c r="G65" s="53">
        <f ca="1"/>
        <v>340.37905812139587</v>
      </c>
      <c r="H65" s="53">
        <f ca="1"/>
        <v>18.941036745747365</v>
      </c>
      <c r="I65" s="53" t="str">
        <f ca="1"/>
        <v>Training</v>
      </c>
      <c r="J65" s="68">
        <f ca="1"/>
        <v>0.83628504526182779</v>
      </c>
      <c r="K65" s="21">
        <f t="shared" ca="1" si="1"/>
        <v>-29.291828918405258</v>
      </c>
      <c r="L65" s="21">
        <f t="shared" ca="1" si="2"/>
        <v>39.109822045692283</v>
      </c>
      <c r="M65" s="54"/>
      <c r="N65" s="53"/>
      <c r="O65" s="67">
        <f ca="1"/>
        <v>340.37905812139587</v>
      </c>
      <c r="P65" s="53">
        <f ca="1"/>
        <v>369.67088703980113</v>
      </c>
      <c r="Q65" s="53" t="str">
        <f ca="1"/>
        <v>Training</v>
      </c>
      <c r="R65" s="68">
        <f ca="1"/>
        <v>8.6056495602494891</v>
      </c>
      <c r="V65"/>
      <c r="W65"/>
      <c r="X65"/>
      <c r="Y65"/>
      <c r="Z65"/>
      <c r="AA65"/>
    </row>
    <row r="66" spans="1:27" s="2" customFormat="1" x14ac:dyDescent="0.3">
      <c r="A66" s="67" t="str">
        <f ca="1"/>
        <v>RT18</v>
      </c>
      <c r="B66" s="53">
        <f ca="1"/>
        <v>230</v>
      </c>
      <c r="C66" s="53" t="str">
        <f ca="1"/>
        <v>Melting</v>
      </c>
      <c r="D66" s="53">
        <f ca="1"/>
        <v>1</v>
      </c>
      <c r="E66" s="53">
        <f ca="1"/>
        <v>2</v>
      </c>
      <c r="F66" s="53">
        <f ca="1"/>
        <v>22.284430163528512</v>
      </c>
      <c r="G66" s="53">
        <f ca="1"/>
        <v>438.58518732334858</v>
      </c>
      <c r="H66" s="53">
        <f ca="1"/>
        <v>19.681238609419442</v>
      </c>
      <c r="I66" s="53" t="str">
        <f ca="1"/>
        <v>Training</v>
      </c>
      <c r="J66" s="68">
        <f ca="1"/>
        <v>0.60458016521853597</v>
      </c>
      <c r="K66" s="21">
        <f t="shared" ca="1" si="1"/>
        <v>-19.828627613187507</v>
      </c>
      <c r="L66" s="21">
        <f t="shared" ca="1" si="2"/>
        <v>137.31595124764499</v>
      </c>
      <c r="M66" s="54"/>
      <c r="N66" s="53"/>
      <c r="O66" s="67">
        <f ca="1"/>
        <v>438.58518732334858</v>
      </c>
      <c r="P66" s="53">
        <f ca="1"/>
        <v>458.41381493653608</v>
      </c>
      <c r="Q66" s="53" t="str">
        <f ca="1"/>
        <v>Training</v>
      </c>
      <c r="R66" s="68">
        <f ca="1"/>
        <v>4.5210436162242695</v>
      </c>
      <c r="V66"/>
      <c r="W66"/>
      <c r="X66"/>
      <c r="Y66"/>
      <c r="Z66"/>
      <c r="AA66"/>
    </row>
    <row r="67" spans="1:27" s="2" customFormat="1" x14ac:dyDescent="0.3">
      <c r="A67" s="67" t="str">
        <f ca="1"/>
        <v>RT24</v>
      </c>
      <c r="B67" s="53">
        <f ca="1"/>
        <v>170</v>
      </c>
      <c r="C67" s="53" t="str">
        <f ca="1"/>
        <v>Melting</v>
      </c>
      <c r="D67" s="53">
        <f ca="1"/>
        <v>0.5</v>
      </c>
      <c r="E67" s="53">
        <f ca="1"/>
        <v>3</v>
      </c>
      <c r="F67" s="53">
        <f ca="1"/>
        <v>12.827573007786603</v>
      </c>
      <c r="G67" s="53">
        <f ca="1"/>
        <v>256.02550949111617</v>
      </c>
      <c r="H67" s="53">
        <f ca="1"/>
        <v>19.958998427504827</v>
      </c>
      <c r="I67" s="53" t="str">
        <f ca="1"/>
        <v>Training</v>
      </c>
      <c r="J67" s="68">
        <f ca="1"/>
        <v>0.53055326962926086</v>
      </c>
      <c r="K67" s="21">
        <f t="shared" ca="1" si="1"/>
        <v>-7.8509565313518692</v>
      </c>
      <c r="L67" s="21">
        <f t="shared" ca="1" si="2"/>
        <v>-45.243726584587421</v>
      </c>
      <c r="M67" s="54"/>
      <c r="N67" s="53"/>
      <c r="O67" s="67">
        <f ca="1"/>
        <v>256.02550949111617</v>
      </c>
      <c r="P67" s="53">
        <f ca="1"/>
        <v>263.87646602246804</v>
      </c>
      <c r="Q67" s="53" t="str">
        <f ca="1"/>
        <v>Training</v>
      </c>
      <c r="R67" s="68">
        <f ca="1"/>
        <v>3.0664743317791503</v>
      </c>
      <c r="V67"/>
      <c r="W67"/>
      <c r="X67"/>
      <c r="Y67"/>
      <c r="Z67"/>
      <c r="AA67"/>
    </row>
    <row r="68" spans="1:27" s="2" customFormat="1" x14ac:dyDescent="0.3">
      <c r="A68" s="67" t="str">
        <f ca="1"/>
        <v>RT11</v>
      </c>
      <c r="B68" s="53">
        <f ca="1"/>
        <v>170</v>
      </c>
      <c r="C68" s="53" t="str">
        <f ca="1"/>
        <v>Melting</v>
      </c>
      <c r="D68" s="53">
        <f ca="1"/>
        <v>0.5</v>
      </c>
      <c r="E68" s="53">
        <f ca="1"/>
        <v>3</v>
      </c>
      <c r="F68" s="53">
        <f ca="1"/>
        <v>13.394999999995163</v>
      </c>
      <c r="G68" s="53">
        <f ca="1"/>
        <v>240.30809999999769</v>
      </c>
      <c r="H68" s="53">
        <f ca="1"/>
        <v>17.940134378505746</v>
      </c>
      <c r="I68" s="53" t="str">
        <f ca="1"/>
        <v>Training</v>
      </c>
      <c r="J68" s="68">
        <f ca="1"/>
        <v>0.34407937975710179</v>
      </c>
      <c r="K68" s="21">
        <f t="shared" ca="1" si="1"/>
        <v>-35.240927101550824</v>
      </c>
      <c r="L68" s="21">
        <f t="shared" ca="1" si="2"/>
        <v>-60.961136075705895</v>
      </c>
      <c r="M68" s="54"/>
      <c r="N68" s="53"/>
      <c r="O68" s="67">
        <f ca="1"/>
        <v>240.30809999999769</v>
      </c>
      <c r="P68" s="53">
        <f ca="1"/>
        <v>275.54902710154852</v>
      </c>
      <c r="Q68" s="53" t="str">
        <f ca="1"/>
        <v>Training</v>
      </c>
      <c r="R68" s="68">
        <f ca="1"/>
        <v>14.66489356852772</v>
      </c>
      <c r="V68"/>
      <c r="W68"/>
      <c r="X68"/>
      <c r="Y68"/>
      <c r="Z68"/>
      <c r="AA68"/>
    </row>
    <row r="69" spans="1:27" s="2" customFormat="1" x14ac:dyDescent="0.3">
      <c r="A69" s="67" t="str">
        <f ca="1"/>
        <v>RT8 (15mm)</v>
      </c>
      <c r="B69" s="53">
        <f ca="1"/>
        <v>170</v>
      </c>
      <c r="C69" s="53" t="str">
        <f ca="1"/>
        <v>Melting</v>
      </c>
      <c r="D69" s="53">
        <f ca="1"/>
        <v>1</v>
      </c>
      <c r="E69" s="53">
        <f ca="1"/>
        <v>1</v>
      </c>
      <c r="F69" s="53">
        <f ca="1"/>
        <v>14.619000000000636</v>
      </c>
      <c r="G69" s="53">
        <f ca="1"/>
        <v>301.61215956541196</v>
      </c>
      <c r="H69" s="53">
        <f ca="1"/>
        <v>20.631517857951902</v>
      </c>
      <c r="I69" s="53" t="str">
        <f ca="1"/>
        <v>Training</v>
      </c>
      <c r="J69" s="68">
        <f ca="1"/>
        <v>0.96588064903215398</v>
      </c>
      <c r="K69" s="21">
        <f t="shared" ca="1" si="1"/>
        <v>0.8841844105655241</v>
      </c>
      <c r="L69" s="21">
        <f t="shared" ca="1" si="2"/>
        <v>0.34292348970836883</v>
      </c>
      <c r="M69" s="54"/>
      <c r="N69" s="53"/>
      <c r="O69" s="67">
        <f ca="1"/>
        <v>301.61215956541196</v>
      </c>
      <c r="P69" s="53">
        <f ca="1"/>
        <v>300.72797515484643</v>
      </c>
      <c r="Q69" s="53" t="str">
        <f ca="1"/>
        <v>Training</v>
      </c>
      <c r="R69" s="68">
        <f ca="1"/>
        <v>0.2931527733628283</v>
      </c>
      <c r="V69"/>
      <c r="W69"/>
      <c r="X69"/>
      <c r="Y69"/>
      <c r="Z69"/>
      <c r="AA69"/>
    </row>
    <row r="70" spans="1:27" s="2" customFormat="1" x14ac:dyDescent="0.3">
      <c r="A70" s="67" t="str">
        <f ca="1"/>
        <v>RT11</v>
      </c>
      <c r="B70" s="53">
        <f ca="1"/>
        <v>170</v>
      </c>
      <c r="C70" s="53" t="str">
        <f ca="1"/>
        <v>Melting</v>
      </c>
      <c r="D70" s="53">
        <f ca="1"/>
        <v>1</v>
      </c>
      <c r="E70" s="53">
        <f ca="1"/>
        <v>2</v>
      </c>
      <c r="F70" s="53">
        <f ca="1"/>
        <v>11.370389065312704</v>
      </c>
      <c r="G70" s="53">
        <f ca="1"/>
        <v>218.07088535308668</v>
      </c>
      <c r="H70" s="53">
        <f ca="1"/>
        <v>19.178841119724638</v>
      </c>
      <c r="I70" s="53" t="str">
        <f ca="1"/>
        <v>Training</v>
      </c>
      <c r="J70" s="68">
        <f ca="1"/>
        <v>0.60790889180245777</v>
      </c>
      <c r="K70" s="21">
        <f t="shared" ca="1" si="1"/>
        <v>-15.829797343003861</v>
      </c>
      <c r="L70" s="21">
        <f t="shared" ca="1" si="2"/>
        <v>-83.198350722616908</v>
      </c>
      <c r="M70" s="54"/>
      <c r="N70" s="53"/>
      <c r="O70" s="67">
        <f ca="1"/>
        <v>218.07088535308668</v>
      </c>
      <c r="P70" s="53">
        <f ca="1"/>
        <v>233.90068269609054</v>
      </c>
      <c r="Q70" s="53" t="str">
        <f ca="1"/>
        <v>Training</v>
      </c>
      <c r="R70" s="68">
        <f ca="1"/>
        <v>7.2590145710525498</v>
      </c>
      <c r="V70"/>
      <c r="W70"/>
      <c r="X70"/>
      <c r="Y70"/>
      <c r="Z70"/>
      <c r="AA70"/>
    </row>
    <row r="71" spans="1:27" s="2" customFormat="1" x14ac:dyDescent="0.3">
      <c r="A71" s="67" t="str">
        <f ca="1"/>
        <v>RT8</v>
      </c>
      <c r="B71" s="53">
        <f ca="1"/>
        <v>170</v>
      </c>
      <c r="C71" s="53" t="str">
        <f ca="1"/>
        <v>Melting</v>
      </c>
      <c r="D71" s="53">
        <f ca="1"/>
        <v>0.5</v>
      </c>
      <c r="E71" s="53">
        <f ca="1"/>
        <v>2</v>
      </c>
      <c r="F71" s="53">
        <f ca="1"/>
        <v>6.9327748784655023</v>
      </c>
      <c r="G71" s="53">
        <f ca="1"/>
        <v>136.08228581679037</v>
      </c>
      <c r="H71" s="53">
        <f ca="1"/>
        <v>19.62883379344791</v>
      </c>
      <c r="I71" s="53" t="str">
        <f ca="1"/>
        <v>Training</v>
      </c>
      <c r="J71" s="68">
        <f ca="1"/>
        <v>0.949625620153843</v>
      </c>
      <c r="K71" s="21">
        <f t="shared" ca="1" si="1"/>
        <v>-6.532075726764333</v>
      </c>
      <c r="L71" s="21">
        <f t="shared" ca="1" si="2"/>
        <v>-165.18695025891321</v>
      </c>
      <c r="M71" s="54"/>
      <c r="N71" s="53"/>
      <c r="O71" s="67">
        <f ca="1"/>
        <v>136.08228581679037</v>
      </c>
      <c r="P71" s="53">
        <f ca="1"/>
        <v>142.61436154355471</v>
      </c>
      <c r="Q71" s="53" t="str">
        <f ca="1"/>
        <v>Training</v>
      </c>
      <c r="R71" s="68">
        <f ca="1"/>
        <v>4.8000925965915684</v>
      </c>
      <c r="V71"/>
      <c r="W71"/>
      <c r="X71"/>
      <c r="Y71"/>
      <c r="Z71"/>
      <c r="AA71"/>
    </row>
    <row r="72" spans="1:27" s="2" customFormat="1" x14ac:dyDescent="0.3">
      <c r="A72" s="67" t="str">
        <f ca="1"/>
        <v>RT11</v>
      </c>
      <c r="B72" s="53">
        <f ca="1"/>
        <v>170</v>
      </c>
      <c r="C72" s="53" t="str">
        <f ca="1"/>
        <v>Melting</v>
      </c>
      <c r="D72" s="53">
        <f ca="1"/>
        <v>1</v>
      </c>
      <c r="E72" s="53">
        <f ca="1"/>
        <v>1</v>
      </c>
      <c r="F72" s="53">
        <f ca="1"/>
        <v>11.064381075029758</v>
      </c>
      <c r="G72" s="53">
        <f ca="1"/>
        <v>222.77243533078848</v>
      </c>
      <c r="H72" s="53">
        <f ca="1"/>
        <v>20.134197640168441</v>
      </c>
      <c r="I72" s="53" t="str">
        <f ca="1"/>
        <v>Training</v>
      </c>
      <c r="J72" s="68">
        <f ca="1"/>
        <v>9.9541107929698502E-2</v>
      </c>
      <c r="K72" s="21">
        <f t="shared" ca="1" si="1"/>
        <v>-4.8333459836076713</v>
      </c>
      <c r="L72" s="21">
        <f t="shared" ca="1" si="2"/>
        <v>-78.496800744915106</v>
      </c>
      <c r="M72" s="54"/>
      <c r="N72" s="53"/>
      <c r="O72" s="67">
        <f ca="1"/>
        <v>222.77243533078848</v>
      </c>
      <c r="P72" s="53">
        <f ca="1"/>
        <v>227.60578131439615</v>
      </c>
      <c r="Q72" s="53" t="str">
        <f ca="1"/>
        <v>Training</v>
      </c>
      <c r="R72" s="68">
        <f ca="1"/>
        <v>2.1696337683927425</v>
      </c>
      <c r="V72"/>
      <c r="W72"/>
      <c r="X72"/>
      <c r="Y72"/>
      <c r="Z72"/>
      <c r="AA72"/>
    </row>
    <row r="73" spans="1:27" s="2" customFormat="1" x14ac:dyDescent="0.3">
      <c r="A73" s="67" t="str">
        <f ca="1"/>
        <v>RT8 (15mm)</v>
      </c>
      <c r="B73" s="53">
        <f ca="1"/>
        <v>170</v>
      </c>
      <c r="C73" s="53" t="str">
        <f ca="1"/>
        <v>Melting</v>
      </c>
      <c r="D73" s="53">
        <f ca="1"/>
        <v>0.5</v>
      </c>
      <c r="E73" s="53">
        <f ca="1"/>
        <v>2</v>
      </c>
      <c r="F73" s="53">
        <f ca="1"/>
        <v>14.901658243472077</v>
      </c>
      <c r="G73" s="53">
        <f ca="1"/>
        <v>299.1960258608637</v>
      </c>
      <c r="H73" s="53">
        <f ca="1"/>
        <v>20.078035677132213</v>
      </c>
      <c r="I73" s="53" t="str">
        <f ca="1"/>
        <v>Training</v>
      </c>
      <c r="J73" s="68">
        <f ca="1"/>
        <v>0.83937543975357565</v>
      </c>
      <c r="K73" s="21">
        <f t="shared" ca="1" si="1"/>
        <v>-7.3465221936331204</v>
      </c>
      <c r="L73" s="21">
        <f t="shared" ca="1" si="2"/>
        <v>-2.0732102148398894</v>
      </c>
      <c r="M73" s="54"/>
      <c r="N73" s="53"/>
      <c r="O73" s="67">
        <f ca="1"/>
        <v>299.1960258608637</v>
      </c>
      <c r="P73" s="53">
        <f ca="1"/>
        <v>306.54254805449682</v>
      </c>
      <c r="Q73" s="53" t="str">
        <f ca="1"/>
        <v>Training</v>
      </c>
      <c r="R73" s="68">
        <f ca="1"/>
        <v>2.4554210479551966</v>
      </c>
      <c r="V73"/>
      <c r="W73"/>
      <c r="X73"/>
      <c r="Y73"/>
      <c r="Z73"/>
      <c r="AA73"/>
    </row>
    <row r="74" spans="1:27" s="2" customFormat="1" x14ac:dyDescent="0.3">
      <c r="A74" s="67" t="str">
        <f ca="1"/>
        <v>RT8 (15mm)</v>
      </c>
      <c r="B74" s="53">
        <f ca="1"/>
        <v>170</v>
      </c>
      <c r="C74" s="53" t="str">
        <f ca="1"/>
        <v>Melting</v>
      </c>
      <c r="D74" s="53">
        <f ca="1"/>
        <v>1</v>
      </c>
      <c r="E74" s="53">
        <f ca="1"/>
        <v>2</v>
      </c>
      <c r="F74" s="53">
        <f ca="1"/>
        <v>17.935800000001304</v>
      </c>
      <c r="G74" s="53">
        <f ca="1"/>
        <v>365.21590909090946</v>
      </c>
      <c r="H74" s="53">
        <f ca="1"/>
        <v>20.36239861566715</v>
      </c>
      <c r="I74" s="53" t="str">
        <f ca="1"/>
        <v>Training</v>
      </c>
      <c r="J74" s="68">
        <f ca="1"/>
        <v>0.75437246141404979</v>
      </c>
      <c r="K74" s="21">
        <f t="shared" ca="1" si="1"/>
        <v>-3.7420782394450498</v>
      </c>
      <c r="L74" s="21">
        <f t="shared" ca="1" si="2"/>
        <v>63.946673015205874</v>
      </c>
      <c r="M74" s="54"/>
      <c r="N74" s="53"/>
      <c r="O74" s="67">
        <f ca="1"/>
        <v>365.21590909090946</v>
      </c>
      <c r="P74" s="53">
        <f ca="1"/>
        <v>368.95798733035451</v>
      </c>
      <c r="Q74" s="53" t="str">
        <f ca="1"/>
        <v>Training</v>
      </c>
      <c r="R74" s="68">
        <f ca="1"/>
        <v>1.0246208191641433</v>
      </c>
      <c r="V74"/>
      <c r="W74"/>
      <c r="X74"/>
      <c r="Y74"/>
      <c r="Z74"/>
      <c r="AA74"/>
    </row>
    <row r="75" spans="1:27" s="2" customFormat="1" x14ac:dyDescent="0.3">
      <c r="A75" s="69" t="str">
        <f ca="1"/>
        <v>RT8 (15mm)</v>
      </c>
      <c r="B75" s="70">
        <f ca="1"/>
        <v>170</v>
      </c>
      <c r="C75" s="70" t="str">
        <f ca="1"/>
        <v>Melting</v>
      </c>
      <c r="D75" s="70">
        <f ca="1"/>
        <v>0.5</v>
      </c>
      <c r="E75" s="70">
        <f ca="1"/>
        <v>1</v>
      </c>
      <c r="F75" s="70">
        <f ca="1"/>
        <v>16.090530088193475</v>
      </c>
      <c r="G75" s="70">
        <f ca="1"/>
        <v>334.92233180419032</v>
      </c>
      <c r="H75" s="70">
        <f ca="1"/>
        <v>20.814872472718701</v>
      </c>
      <c r="I75" s="70" t="str">
        <f ca="1"/>
        <v>Training</v>
      </c>
      <c r="J75" s="71">
        <f ca="1"/>
        <v>0.91738904057528381</v>
      </c>
      <c r="K75" s="21">
        <f t="shared" ca="1" si="1"/>
        <v>3.9234582430475484</v>
      </c>
      <c r="L75" s="21">
        <f t="shared" ca="1" si="2"/>
        <v>33.653095728486733</v>
      </c>
      <c r="M75" s="54"/>
      <c r="N75" s="53"/>
      <c r="O75" s="69">
        <f ca="1"/>
        <v>334.92233180419032</v>
      </c>
      <c r="P75" s="70">
        <f ca="1"/>
        <v>330.99887356114277</v>
      </c>
      <c r="Q75" s="70" t="str">
        <f ca="1"/>
        <v>Training</v>
      </c>
      <c r="R75" s="71">
        <f ca="1"/>
        <v>1.171453161069405</v>
      </c>
      <c r="V75"/>
      <c r="W75"/>
      <c r="X75"/>
      <c r="Y75"/>
      <c r="Z75"/>
      <c r="AA75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3"/>
      <c r="O76" s="53"/>
      <c r="P76" s="53"/>
      <c r="Q76" s="53"/>
      <c r="R76" s="53"/>
    </row>
    <row r="77" spans="1:27" x14ac:dyDescent="0.3">
      <c r="K77" s="52"/>
      <c r="L77" s="52"/>
    </row>
    <row r="78" spans="1:27" s="2" customFormat="1" x14ac:dyDescent="0.3">
      <c r="A78" s="28" t="str" cm="1">
        <f t="array" aca="1" ref="A78:J86" ca="1">_xlfn._xlws.FILTER(Data_Melting[],Data_Melting[T / V]="Validation")</f>
        <v>RT24</v>
      </c>
      <c r="B78" s="29">
        <f ca="1"/>
        <v>170</v>
      </c>
      <c r="C78" s="29" t="str">
        <f ca="1"/>
        <v>Melting</v>
      </c>
      <c r="D78" s="29">
        <f ca="1"/>
        <v>0.5</v>
      </c>
      <c r="E78" s="29">
        <f ca="1"/>
        <v>1</v>
      </c>
      <c r="F78" s="29">
        <f ca="1"/>
        <v>10.128440696018268</v>
      </c>
      <c r="G78" s="29">
        <f ca="1"/>
        <v>212.52860331422897</v>
      </c>
      <c r="H78" s="29">
        <f ca="1"/>
        <v>20.983348739730392</v>
      </c>
      <c r="I78" s="29" t="str">
        <f ca="1"/>
        <v>Validation</v>
      </c>
      <c r="J78" s="30">
        <f ca="1"/>
        <v>0.6398252269831225</v>
      </c>
      <c r="K78" s="31"/>
      <c r="L78" s="31"/>
      <c r="M78" s="32"/>
      <c r="N78" s="31"/>
      <c r="O78" s="28" cm="1">
        <f t="array" aca="1" ref="O78:R86" ca="1">_xlfn._xlws.FILTER(Estimates_Melting[],Estimates_Melting[T / V]="Validation")</f>
        <v>212.52860331422897</v>
      </c>
      <c r="P78" s="29">
        <f ca="1"/>
        <v>208.35251809216669</v>
      </c>
      <c r="Q78" s="29" t="str">
        <f ca="1"/>
        <v>Validation</v>
      </c>
      <c r="R78" s="30">
        <f ca="1"/>
        <v>1.9649520850084516</v>
      </c>
      <c r="V78"/>
      <c r="W78"/>
      <c r="X78"/>
      <c r="Y78"/>
      <c r="Z78"/>
      <c r="AA78"/>
    </row>
    <row r="79" spans="1:27" s="2" customFormat="1" x14ac:dyDescent="0.3">
      <c r="A79" s="33" t="str">
        <f ca="1"/>
        <v>RT18</v>
      </c>
      <c r="B79" s="31">
        <f ca="1"/>
        <v>230</v>
      </c>
      <c r="C79" s="31" t="str">
        <f ca="1"/>
        <v>Melting</v>
      </c>
      <c r="D79" s="31">
        <f ca="1"/>
        <v>0.5</v>
      </c>
      <c r="E79" s="31">
        <f ca="1"/>
        <v>1</v>
      </c>
      <c r="F79" s="31">
        <f ca="1"/>
        <v>22.067685978047887</v>
      </c>
      <c r="G79" s="31">
        <f ca="1"/>
        <v>530.44121365596561</v>
      </c>
      <c r="H79" s="31">
        <f ca="1"/>
        <v>24.037011138532094</v>
      </c>
      <c r="I79" s="31" t="str">
        <f ca="1"/>
        <v>Validation</v>
      </c>
      <c r="J79" s="34">
        <f ca="1"/>
        <v>0.88242885979346508</v>
      </c>
      <c r="K79" s="31"/>
      <c r="L79" s="31"/>
      <c r="M79" s="32"/>
      <c r="N79" s="31"/>
      <c r="O79" s="33">
        <f ca="1"/>
        <v>530.44121365596561</v>
      </c>
      <c r="P79" s="31">
        <f ca="1"/>
        <v>453.95516249613854</v>
      </c>
      <c r="Q79" s="31" t="str">
        <f ca="1"/>
        <v>Validation</v>
      </c>
      <c r="R79" s="34">
        <f ca="1"/>
        <v>14.419326626726731</v>
      </c>
      <c r="V79"/>
      <c r="W79"/>
      <c r="X79"/>
      <c r="Y79"/>
      <c r="Z79"/>
      <c r="AA79"/>
    </row>
    <row r="80" spans="1:27" s="2" customFormat="1" x14ac:dyDescent="0.3">
      <c r="A80" s="33" t="str">
        <f ca="1"/>
        <v>RT8</v>
      </c>
      <c r="B80" s="31">
        <f ca="1"/>
        <v>170</v>
      </c>
      <c r="C80" s="31" t="str">
        <f ca="1"/>
        <v>Melting</v>
      </c>
      <c r="D80" s="31">
        <f ca="1"/>
        <v>1</v>
      </c>
      <c r="E80" s="31">
        <f ca="1"/>
        <v>3</v>
      </c>
      <c r="F80" s="31">
        <f ca="1"/>
        <v>7.872829771852226</v>
      </c>
      <c r="G80" s="31">
        <f ca="1"/>
        <v>156.15565369073173</v>
      </c>
      <c r="H80" s="31">
        <f ca="1"/>
        <v>19.834755509262493</v>
      </c>
      <c r="I80" s="31" t="str">
        <f ca="1"/>
        <v>Validation</v>
      </c>
      <c r="J80" s="34">
        <f ca="1"/>
        <v>6.2070419187071346E-3</v>
      </c>
      <c r="K80" s="31"/>
      <c r="L80" s="31"/>
      <c r="M80" s="32"/>
      <c r="N80" s="31"/>
      <c r="O80" s="33">
        <f ca="1"/>
        <v>156.15565369073173</v>
      </c>
      <c r="P80" s="31">
        <f ca="1"/>
        <v>161.95226458908328</v>
      </c>
      <c r="Q80" s="31" t="str">
        <f ca="1"/>
        <v>Validation</v>
      </c>
      <c r="R80" s="34">
        <f ca="1"/>
        <v>3.712072385052303</v>
      </c>
      <c r="V80"/>
      <c r="W80"/>
      <c r="X80"/>
      <c r="Y80"/>
      <c r="Z80"/>
      <c r="AA80"/>
    </row>
    <row r="81" spans="1:27" s="2" customFormat="1" x14ac:dyDescent="0.3">
      <c r="A81" s="33" t="str">
        <f ca="1"/>
        <v>RT11</v>
      </c>
      <c r="B81" s="31">
        <f ca="1"/>
        <v>170</v>
      </c>
      <c r="C81" s="31" t="str">
        <f ca="1"/>
        <v>Melting</v>
      </c>
      <c r="D81" s="31">
        <f ca="1"/>
        <v>1</v>
      </c>
      <c r="E81" s="31">
        <f ca="1"/>
        <v>3</v>
      </c>
      <c r="F81" s="31">
        <f ca="1"/>
        <v>11.550733538461678</v>
      </c>
      <c r="G81" s="31">
        <f ca="1"/>
        <v>217.63550879854768</v>
      </c>
      <c r="H81" s="31">
        <f ca="1"/>
        <v>18.84170456134791</v>
      </c>
      <c r="I81" s="31" t="str">
        <f ca="1"/>
        <v>Validation</v>
      </c>
      <c r="J81" s="34">
        <f ca="1"/>
        <v>0.89024674859786079</v>
      </c>
      <c r="K81" s="31"/>
      <c r="L81" s="31"/>
      <c r="M81" s="32"/>
      <c r="N81" s="31"/>
      <c r="O81" s="33">
        <f ca="1"/>
        <v>217.63550879854768</v>
      </c>
      <c r="P81" s="31">
        <f ca="1"/>
        <v>237.61055534404568</v>
      </c>
      <c r="Q81" s="31" t="str">
        <f ca="1"/>
        <v>Validation</v>
      </c>
      <c r="R81" s="34">
        <f ca="1"/>
        <v>9.1782111548661494</v>
      </c>
      <c r="V81"/>
      <c r="W81"/>
      <c r="X81"/>
      <c r="Y81"/>
      <c r="Z81"/>
      <c r="AA81"/>
    </row>
    <row r="82" spans="1:27" s="2" customFormat="1" x14ac:dyDescent="0.3">
      <c r="A82" s="33" t="str">
        <f ca="1"/>
        <v>RT8</v>
      </c>
      <c r="B82" s="31">
        <f ca="1"/>
        <v>170</v>
      </c>
      <c r="C82" s="31" t="str">
        <f ca="1"/>
        <v>Melting</v>
      </c>
      <c r="D82" s="31">
        <f ca="1"/>
        <v>1</v>
      </c>
      <c r="E82" s="31">
        <f ca="1"/>
        <v>1</v>
      </c>
      <c r="F82" s="31">
        <f ca="1"/>
        <v>7.7868000000008877</v>
      </c>
      <c r="G82" s="31">
        <f ca="1"/>
        <v>134.81040000000056</v>
      </c>
      <c r="H82" s="31">
        <f ca="1"/>
        <v>17.312683002001489</v>
      </c>
      <c r="I82" s="31" t="str">
        <f ca="1"/>
        <v>Validation</v>
      </c>
      <c r="J82" s="34">
        <f ca="1"/>
        <v>7.4621315807253619E-2</v>
      </c>
      <c r="K82" s="31"/>
      <c r="L82" s="31"/>
      <c r="M82" s="32"/>
      <c r="N82" s="31"/>
      <c r="O82" s="33">
        <f ca="1"/>
        <v>134.81040000000056</v>
      </c>
      <c r="P82" s="31">
        <f ca="1"/>
        <v>160.18254305601775</v>
      </c>
      <c r="Q82" s="31" t="str">
        <f ca="1"/>
        <v>Validation</v>
      </c>
      <c r="R82" s="34">
        <f ca="1"/>
        <v>18.820612546225728</v>
      </c>
      <c r="V82"/>
      <c r="W82"/>
      <c r="X82"/>
      <c r="Y82"/>
      <c r="Z82"/>
      <c r="AA82"/>
    </row>
    <row r="83" spans="1:27" s="2" customFormat="1" x14ac:dyDescent="0.3">
      <c r="A83" s="33" t="str">
        <f ca="1"/>
        <v>RT8</v>
      </c>
      <c r="B83" s="31">
        <f ca="1"/>
        <v>170</v>
      </c>
      <c r="C83" s="31" t="str">
        <f ca="1"/>
        <v>Melting</v>
      </c>
      <c r="D83" s="31">
        <f ca="1"/>
        <v>1</v>
      </c>
      <c r="E83" s="31">
        <f ca="1"/>
        <v>2</v>
      </c>
      <c r="F83" s="31">
        <f ca="1"/>
        <v>9.3620263278695397</v>
      </c>
      <c r="G83" s="31">
        <f ca="1"/>
        <v>159.24805774971134</v>
      </c>
      <c r="H83" s="31">
        <f ca="1"/>
        <v>17.009998922525028</v>
      </c>
      <c r="I83" s="31" t="str">
        <f ca="1"/>
        <v>Validation</v>
      </c>
      <c r="J83" s="34">
        <f ca="1"/>
        <v>0.76178506999490492</v>
      </c>
      <c r="K83" s="31"/>
      <c r="L83" s="31"/>
      <c r="M83" s="32"/>
      <c r="N83" s="31"/>
      <c r="O83" s="33">
        <f ca="1"/>
        <v>159.24805774971134</v>
      </c>
      <c r="P83" s="31">
        <f ca="1"/>
        <v>192.58658054083361</v>
      </c>
      <c r="Q83" s="31" t="str">
        <f ca="1"/>
        <v>Validation</v>
      </c>
      <c r="R83" s="34">
        <f ca="1"/>
        <v>20.934963516804778</v>
      </c>
      <c r="V83"/>
      <c r="W83"/>
      <c r="X83"/>
      <c r="Y83"/>
      <c r="Z83"/>
      <c r="AA83"/>
    </row>
    <row r="84" spans="1:27" s="2" customFormat="1" x14ac:dyDescent="0.3">
      <c r="A84" s="33" t="str">
        <f ca="1"/>
        <v>RT18</v>
      </c>
      <c r="B84" s="31">
        <f ca="1"/>
        <v>230</v>
      </c>
      <c r="C84" s="31" t="str">
        <f ca="1"/>
        <v>Melting</v>
      </c>
      <c r="D84" s="31">
        <f ca="1"/>
        <v>1</v>
      </c>
      <c r="E84" s="31">
        <f ca="1"/>
        <v>3</v>
      </c>
      <c r="F84" s="31">
        <f ca="1"/>
        <v>26.999051764701608</v>
      </c>
      <c r="G84" s="31">
        <f ca="1"/>
        <v>498.93304243764453</v>
      </c>
      <c r="H84" s="31">
        <f ca="1"/>
        <v>18.479650573874839</v>
      </c>
      <c r="I84" s="31" t="str">
        <f ca="1"/>
        <v>Validation</v>
      </c>
      <c r="J84" s="34">
        <f ca="1"/>
        <v>0.70227419477782682</v>
      </c>
      <c r="K84" s="31"/>
      <c r="L84" s="31"/>
      <c r="M84" s="32"/>
      <c r="N84" s="31"/>
      <c r="O84" s="33">
        <f ca="1"/>
        <v>498.93304243764453</v>
      </c>
      <c r="P84" s="31">
        <f ca="1"/>
        <v>555.39846557898932</v>
      </c>
      <c r="Q84" s="31" t="str">
        <f ca="1"/>
        <v>Validation</v>
      </c>
      <c r="R84" s="34">
        <f ca="1"/>
        <v>11.317234646450922</v>
      </c>
      <c r="V84"/>
      <c r="W84"/>
      <c r="X84"/>
      <c r="Y84"/>
      <c r="Z84"/>
      <c r="AA84"/>
    </row>
    <row r="85" spans="1:27" s="2" customFormat="1" x14ac:dyDescent="0.3">
      <c r="A85" s="33" t="str">
        <f ca="1"/>
        <v>RT8</v>
      </c>
      <c r="B85" s="31">
        <f ca="1"/>
        <v>170</v>
      </c>
      <c r="C85" s="31" t="str">
        <f ca="1"/>
        <v>Melting</v>
      </c>
      <c r="D85" s="31">
        <f ca="1"/>
        <v>0.5</v>
      </c>
      <c r="E85" s="31">
        <f ca="1"/>
        <v>3</v>
      </c>
      <c r="F85" s="31">
        <f ca="1"/>
        <v>6.6891725519443357</v>
      </c>
      <c r="G85" s="31">
        <f ca="1"/>
        <v>134.90327528622092</v>
      </c>
      <c r="H85" s="31">
        <f ca="1"/>
        <v>20.167408485674166</v>
      </c>
      <c r="I85" s="31" t="str">
        <f ca="1"/>
        <v>Validation</v>
      </c>
      <c r="J85" s="34">
        <f ca="1"/>
        <v>0.66290647988798257</v>
      </c>
      <c r="K85" s="31"/>
      <c r="L85" s="31"/>
      <c r="M85" s="32"/>
      <c r="N85" s="31"/>
      <c r="O85" s="33">
        <f ca="1"/>
        <v>134.90327528622092</v>
      </c>
      <c r="P85" s="31">
        <f ca="1"/>
        <v>137.6032093171564</v>
      </c>
      <c r="Q85" s="31" t="str">
        <f ca="1"/>
        <v>Validation</v>
      </c>
      <c r="R85" s="34">
        <f ca="1"/>
        <v>2.0013850851338471</v>
      </c>
      <c r="V85"/>
      <c r="W85"/>
      <c r="X85"/>
      <c r="Y85"/>
      <c r="Z85"/>
      <c r="AA85"/>
    </row>
    <row r="86" spans="1:27" s="2" customFormat="1" x14ac:dyDescent="0.3">
      <c r="A86" s="35" t="str">
        <f ca="1"/>
        <v>RT8 (15mm)</v>
      </c>
      <c r="B86" s="36">
        <f ca="1"/>
        <v>170</v>
      </c>
      <c r="C86" s="36" t="str">
        <f ca="1"/>
        <v>Melting</v>
      </c>
      <c r="D86" s="36">
        <f ca="1"/>
        <v>0.5</v>
      </c>
      <c r="E86" s="36">
        <f ca="1"/>
        <v>3</v>
      </c>
      <c r="F86" s="36">
        <f ca="1"/>
        <v>15.294906027162749</v>
      </c>
      <c r="G86" s="36">
        <f ca="1"/>
        <v>318.35937208508204</v>
      </c>
      <c r="H86" s="36">
        <f ca="1"/>
        <v>20.814732141518011</v>
      </c>
      <c r="I86" s="36" t="str">
        <f ca="1"/>
        <v>Validation</v>
      </c>
      <c r="J86" s="37">
        <f ca="1"/>
        <v>0.84399108800695499</v>
      </c>
      <c r="K86" s="31"/>
      <c r="L86" s="31"/>
      <c r="M86" s="32"/>
      <c r="N86" s="31"/>
      <c r="O86" s="35">
        <f ca="1"/>
        <v>318.35937208508204</v>
      </c>
      <c r="P86" s="36">
        <f ca="1"/>
        <v>314.63206236624325</v>
      </c>
      <c r="Q86" s="36" t="str">
        <f ca="1"/>
        <v>Validation</v>
      </c>
      <c r="R86" s="37">
        <f ca="1"/>
        <v>1.1707868671894062</v>
      </c>
      <c r="V86"/>
      <c r="W86"/>
      <c r="X86"/>
      <c r="Y86"/>
      <c r="Z86"/>
      <c r="AA86"/>
    </row>
    <row r="87" spans="1:27" s="2" customForma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/>
      <c r="N87" s="31"/>
      <c r="O87" s="31"/>
      <c r="P87" s="31"/>
      <c r="Q87" s="31"/>
      <c r="R87" s="31"/>
      <c r="V87"/>
      <c r="W87"/>
      <c r="X87"/>
      <c r="Y87"/>
      <c r="Z87"/>
      <c r="AA87"/>
    </row>
    <row r="88" spans="1:27" s="2" customForma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1"/>
      <c r="O88" s="31"/>
      <c r="P88" s="31"/>
      <c r="Q88" s="31"/>
      <c r="R88" s="31"/>
      <c r="V88"/>
      <c r="W88"/>
      <c r="X88"/>
      <c r="Y88"/>
      <c r="Z88"/>
      <c r="AA88"/>
    </row>
    <row r="89" spans="1:27" s="2" customForma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/>
      <c r="N89" s="31"/>
      <c r="O89" s="31"/>
      <c r="P89" s="31"/>
      <c r="Q89" s="31"/>
      <c r="R89" s="31"/>
      <c r="V89"/>
      <c r="W89"/>
      <c r="X89"/>
      <c r="Y89"/>
      <c r="Z89"/>
      <c r="AA89"/>
    </row>
    <row r="90" spans="1:27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O90" s="31"/>
      <c r="P90" s="31"/>
      <c r="Q90" s="31"/>
      <c r="R90" s="31"/>
    </row>
    <row r="91" spans="1:27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O91" s="31"/>
      <c r="P91" s="31"/>
      <c r="Q91" s="31"/>
      <c r="R91" s="31"/>
    </row>
    <row r="92" spans="1:27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O92" s="31"/>
      <c r="P92" s="31"/>
      <c r="Q92" s="31"/>
      <c r="R92" s="31"/>
    </row>
    <row r="93" spans="1:27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O93" s="31"/>
      <c r="P93" s="31"/>
      <c r="Q93" s="31"/>
      <c r="R93" s="31"/>
    </row>
    <row r="94" spans="1:27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O94" s="31"/>
      <c r="P94" s="31"/>
      <c r="Q94" s="31"/>
      <c r="R94" s="31"/>
    </row>
    <row r="95" spans="1:27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O95" s="31"/>
      <c r="P95" s="31"/>
      <c r="Q95" s="31"/>
      <c r="R95" s="31"/>
    </row>
  </sheetData>
  <mergeCells count="2">
    <mergeCell ref="A1:M1"/>
    <mergeCell ref="O1:R1"/>
  </mergeCells>
  <conditionalFormatting sqref="I22:I77">
    <cfRule type="expression" dxfId="2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5A23-7D4D-46E9-BC77-25B95BCC1289}">
  <dimension ref="A1:AA95"/>
  <sheetViews>
    <sheetView topLeftCell="A54" zoomScale="70" zoomScaleNormal="7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2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2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2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_xlfn.MAXIFS(Estimates_1Ch[Error],Estimates_1Ch[T / V],"Training")</f>
        <v>18.530281835839105</v>
      </c>
      <c r="R4" s="2"/>
      <c r="T4"/>
    </row>
    <row r="5" spans="1:22" x14ac:dyDescent="0.3">
      <c r="B5" s="11" t="s">
        <v>21</v>
      </c>
      <c r="C5" s="10">
        <v>0.7</v>
      </c>
      <c r="D5" s="10">
        <f>Training*D7</f>
        <v>21</v>
      </c>
      <c r="J5"/>
      <c r="K5"/>
      <c r="L5"/>
      <c r="M5" s="9"/>
      <c r="N5"/>
      <c r="O5" s="39"/>
      <c r="P5" s="2" t="s">
        <v>29</v>
      </c>
      <c r="Q5" s="3">
        <f ca="1">_xlfn.MINIFS(Estimates_1Ch[Error],Estimates_1Ch[T / V],"Training")</f>
        <v>1.912654671417072E-2</v>
      </c>
      <c r="R5" s="2"/>
      <c r="T5"/>
    </row>
    <row r="6" spans="1:22" x14ac:dyDescent="0.3">
      <c r="B6" s="12" t="s">
        <v>22</v>
      </c>
      <c r="C6" s="3">
        <f>1-C5</f>
        <v>0.30000000000000004</v>
      </c>
      <c r="D6" s="3">
        <f>Validation*D7</f>
        <v>9.0000000000000018</v>
      </c>
      <c r="J6"/>
      <c r="K6"/>
      <c r="L6"/>
      <c r="M6" s="9"/>
      <c r="N6"/>
      <c r="O6" s="39"/>
      <c r="P6" s="2" t="s">
        <v>30</v>
      </c>
      <c r="Q6" s="3">
        <f ca="1">AVERAGEIFS(Estimates_1Ch[Error],Estimates_1Ch[T / V],"Training")</f>
        <v>6.4189060981402122</v>
      </c>
      <c r="R6" s="2"/>
      <c r="T6"/>
    </row>
    <row r="7" spans="1:22" x14ac:dyDescent="0.3">
      <c r="B7" s="13" t="s">
        <v>23</v>
      </c>
      <c r="C7" s="7">
        <v>1</v>
      </c>
      <c r="D7" s="7">
        <f>COUNT(Data_1Ch[L])</f>
        <v>30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_xlfn.MAXIFS(Estimates_1Ch[Error],Estimates_1Ch[T / V],"Validation")</f>
        <v>14.589686709720946</v>
      </c>
      <c r="R7" s="2"/>
      <c r="T7"/>
    </row>
    <row r="8" spans="1:22" x14ac:dyDescent="0.3">
      <c r="J8"/>
      <c r="K8"/>
      <c r="L8"/>
      <c r="M8" s="9"/>
      <c r="N8"/>
      <c r="O8" s="39"/>
      <c r="P8" s="2" t="s">
        <v>29</v>
      </c>
      <c r="Q8" s="3">
        <f ca="1">_xlfn.MINIFS(Estimates_1Ch[Error],Estimates_1Ch[T / V],"Validation")</f>
        <v>0.7992921926462716</v>
      </c>
      <c r="R8" s="2"/>
      <c r="T8"/>
    </row>
    <row r="9" spans="1:22" x14ac:dyDescent="0.3">
      <c r="J9"/>
      <c r="K9"/>
      <c r="L9"/>
      <c r="M9" s="9"/>
      <c r="N9"/>
      <c r="O9" s="38"/>
      <c r="P9" s="4" t="s">
        <v>30</v>
      </c>
      <c r="Q9" s="7">
        <f ca="1">AVERAGEIFS(Estimates_1Ch[Error],Estimates_1Ch[T / V],"Validation")</f>
        <v>4.5103059186733709</v>
      </c>
      <c r="R9" s="2"/>
      <c r="T9"/>
    </row>
    <row r="10" spans="1:22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2" x14ac:dyDescent="0.3">
      <c r="B11" s="11" t="s">
        <v>15</v>
      </c>
      <c r="C11" s="3">
        <f ca="1">SUMPRODUCT(F55:F75,G55:G75)/SUMSQ(F55:F75)</f>
        <v>19.838549213040615</v>
      </c>
      <c r="J11"/>
      <c r="K11"/>
      <c r="L11"/>
      <c r="M11" s="9"/>
      <c r="N11"/>
      <c r="O11" s="39"/>
      <c r="P11" s="2"/>
      <c r="R11" s="2"/>
      <c r="T11"/>
    </row>
    <row r="12" spans="1:22" x14ac:dyDescent="0.3">
      <c r="B12" s="12" t="s">
        <v>14</v>
      </c>
      <c r="C12" s="3">
        <v>0</v>
      </c>
      <c r="G12"/>
      <c r="H12" s="2"/>
      <c r="I12"/>
      <c r="J12"/>
      <c r="K12"/>
      <c r="L12"/>
      <c r="M12" s="9"/>
      <c r="N12" s="73"/>
      <c r="O12" s="5"/>
      <c r="P12" s="5"/>
      <c r="Q12" s="40"/>
      <c r="R12" s="5"/>
      <c r="S12" s="5"/>
      <c r="T12" s="73"/>
      <c r="U12" s="5"/>
      <c r="V12" s="73"/>
    </row>
    <row r="13" spans="1:22" ht="16.2" x14ac:dyDescent="0.3">
      <c r="B13" s="13" t="s">
        <v>31</v>
      </c>
      <c r="C13" s="7">
        <f ca="1">1-SUMSQ(K53:K89)/SUMSQ(L53:L89)</f>
        <v>0.97430141862920272</v>
      </c>
      <c r="N13" s="5"/>
      <c r="O13" s="74"/>
      <c r="P13" s="5"/>
      <c r="Q13" s="40"/>
      <c r="R13" s="5"/>
      <c r="S13" s="5"/>
      <c r="T13" s="73"/>
      <c r="U13" s="5"/>
      <c r="V13" s="73"/>
    </row>
    <row r="14" spans="1:22" x14ac:dyDescent="0.3">
      <c r="N14" s="5"/>
      <c r="O14" s="40"/>
      <c r="P14" s="5"/>
      <c r="Q14" s="40"/>
      <c r="R14" s="5"/>
      <c r="S14" s="5"/>
      <c r="T14" s="73"/>
      <c r="U14" s="5"/>
      <c r="V14" s="73"/>
    </row>
    <row r="15" spans="1:22" x14ac:dyDescent="0.3">
      <c r="B15" s="51" t="s">
        <v>39</v>
      </c>
      <c r="N15" s="5"/>
      <c r="O15" s="15"/>
      <c r="P15" s="15"/>
      <c r="Q15" s="15"/>
      <c r="R15" s="15"/>
      <c r="S15" s="15"/>
      <c r="T15" s="16"/>
      <c r="U15" s="5"/>
      <c r="V15" s="73"/>
    </row>
    <row r="16" spans="1:22" ht="15.6" x14ac:dyDescent="0.35">
      <c r="B16" s="14" t="s">
        <v>40</v>
      </c>
      <c r="C16" s="14" t="s">
        <v>41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5"/>
      <c r="V16" s="73"/>
    </row>
    <row r="17" spans="1:27" x14ac:dyDescent="0.3">
      <c r="B17" s="10">
        <v>6</v>
      </c>
      <c r="C17" s="10">
        <f ca="1">B17*C11</f>
        <v>119.03129527824369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5"/>
      <c r="V17" s="73"/>
    </row>
    <row r="18" spans="1:27" x14ac:dyDescent="0.3">
      <c r="B18" s="7">
        <v>28</v>
      </c>
      <c r="C18" s="7">
        <f ca="1">B18*C11</f>
        <v>555.47937796513725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5"/>
      <c r="V18" s="73"/>
    </row>
    <row r="19" spans="1:27" x14ac:dyDescent="0.3">
      <c r="N19" s="40"/>
      <c r="O19" s="15"/>
      <c r="P19" s="15"/>
      <c r="Q19" s="15"/>
      <c r="R19" s="15"/>
      <c r="S19" s="15"/>
      <c r="T19" s="15"/>
      <c r="U19" s="5"/>
      <c r="V19" s="73"/>
    </row>
    <row r="20" spans="1:27" x14ac:dyDescent="0.3">
      <c r="N20" s="40"/>
      <c r="O20" s="15"/>
      <c r="P20" s="15"/>
      <c r="Q20" s="15"/>
      <c r="R20" s="15"/>
      <c r="S20" s="15"/>
      <c r="T20" s="15"/>
      <c r="U20" s="5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38</v>
      </c>
      <c r="B22" s="3">
        <v>230</v>
      </c>
      <c r="C22" s="3" t="s">
        <v>9</v>
      </c>
      <c r="D22" s="3">
        <v>1</v>
      </c>
      <c r="E22" s="3">
        <v>3</v>
      </c>
      <c r="F22" s="3">
        <v>25.152330906320181</v>
      </c>
      <c r="G22" s="3">
        <v>531.35713106848095</v>
      </c>
      <c r="H22" s="3">
        <v>21.125562201273503</v>
      </c>
      <c r="I22" s="3" t="str">
        <f>IF(ROWS($I$22:I22)&lt;=n_T,"Training","Validation")</f>
        <v>Training</v>
      </c>
      <c r="J22" s="3">
        <f t="shared" ref="J22:J51" ca="1" si="0">RAND()</f>
        <v>0.15928219139319744</v>
      </c>
      <c r="K22" s="52"/>
      <c r="L22" s="52"/>
      <c r="O22" s="3">
        <f>Data_1Ch[[#This Row],[A_q]]</f>
        <v>531.35713106848095</v>
      </c>
      <c r="P22" s="3">
        <f ca="1">Data_1Ch[[#This Row],[A_T]]*$C$11</f>
        <v>498.98575450771534</v>
      </c>
      <c r="Q22" s="3" t="str">
        <f>Data_1Ch[[#This Row],[T / V]]</f>
        <v>Training</v>
      </c>
      <c r="R22" s="3">
        <f ca="1">ABS((Estimates_1Ch[[#This Row],[A_q predicted (b=0)]]-Estimates_1Ch[[#This Row],[A_q measured]])/Estimates_1Ch[[#This Row],[A_q measured]])*100</f>
        <v>6.092207042685498</v>
      </c>
      <c r="V22" s="2"/>
    </row>
    <row r="23" spans="1:27" x14ac:dyDescent="0.3">
      <c r="A23" s="3" t="s">
        <v>8</v>
      </c>
      <c r="B23" s="3">
        <v>170</v>
      </c>
      <c r="C23" s="3" t="s">
        <v>10</v>
      </c>
      <c r="D23" s="3">
        <v>1</v>
      </c>
      <c r="E23" s="3">
        <v>2</v>
      </c>
      <c r="F23" s="3">
        <v>9.3620263278695397</v>
      </c>
      <c r="G23" s="3">
        <v>159.24805774971134</v>
      </c>
      <c r="H23" s="3">
        <v>17.009998922525028</v>
      </c>
      <c r="I23" s="3" t="str">
        <f>IF(ROWS($I$22:I23)&lt;=n_T,"Training","Validation")</f>
        <v>Training</v>
      </c>
      <c r="J23" s="3">
        <f t="shared" ca="1" si="0"/>
        <v>0.99064432820714388</v>
      </c>
      <c r="K23" s="52"/>
      <c r="L23" s="52"/>
      <c r="O23" s="3">
        <f>Data_1Ch[[#This Row],[A_q]]</f>
        <v>159.24805774971134</v>
      </c>
      <c r="P23" s="3">
        <f ca="1">Data_1Ch[[#This Row],[A_T]]*$C$11</f>
        <v>185.72902003922178</v>
      </c>
      <c r="Q23" s="3" t="str">
        <f>Data_1Ch[[#This Row],[T / V]]</f>
        <v>Training</v>
      </c>
      <c r="R23" s="3">
        <f ca="1">ABS((Estimates_1Ch[[#This Row],[A_q predicted (b=0)]]-Estimates_1Ch[[#This Row],[A_q measured]])/Estimates_1Ch[[#This Row],[A_q measured]])*100</f>
        <v>16.628750556650633</v>
      </c>
    </row>
    <row r="24" spans="1:27" x14ac:dyDescent="0.3">
      <c r="A24" s="3" t="s">
        <v>8</v>
      </c>
      <c r="B24" s="3">
        <v>170</v>
      </c>
      <c r="C24" s="3" t="s">
        <v>9</v>
      </c>
      <c r="D24" s="3">
        <v>1</v>
      </c>
      <c r="E24" s="3">
        <v>2</v>
      </c>
      <c r="F24" s="3">
        <v>9.2355319538814236</v>
      </c>
      <c r="G24" s="3">
        <v>177.19746032724149</v>
      </c>
      <c r="H24" s="3">
        <v>19.186492040966908</v>
      </c>
      <c r="I24" s="3" t="str">
        <f>IF(ROWS($I$22:I24)&lt;=n_T,"Training","Validation")</f>
        <v>Training</v>
      </c>
      <c r="J24" s="3">
        <f t="shared" ca="1" si="0"/>
        <v>0.14996579783739261</v>
      </c>
      <c r="K24" s="52"/>
      <c r="L24" s="52"/>
      <c r="O24" s="3">
        <f>Data_1Ch[[#This Row],[A_q]]</f>
        <v>177.19746032724149</v>
      </c>
      <c r="P24" s="3">
        <f ca="1">Data_1Ch[[#This Row],[A_T]]*$C$11</f>
        <v>183.21955517568577</v>
      </c>
      <c r="Q24" s="3" t="str">
        <f>Data_1Ch[[#This Row],[T / V]]</f>
        <v>Training</v>
      </c>
      <c r="R24" s="3">
        <f ca="1">ABS((Estimates_1Ch[[#This Row],[A_q predicted (b=0)]]-Estimates_1Ch[[#This Row],[A_q measured]])/Estimates_1Ch[[#This Row],[A_q measured]])*100</f>
        <v>3.3985220992010317</v>
      </c>
    </row>
    <row r="25" spans="1:27" x14ac:dyDescent="0.3">
      <c r="A25" s="3" t="s">
        <v>38</v>
      </c>
      <c r="B25" s="3">
        <v>230</v>
      </c>
      <c r="C25" s="3" t="s">
        <v>10</v>
      </c>
      <c r="D25" s="3">
        <v>1</v>
      </c>
      <c r="E25" s="3">
        <v>3</v>
      </c>
      <c r="F25" s="3">
        <v>26.999051764701608</v>
      </c>
      <c r="G25" s="3">
        <v>498.93304243764453</v>
      </c>
      <c r="H25" s="3">
        <v>18.479650573874839</v>
      </c>
      <c r="I25" s="3" t="str">
        <f>IF(ROWS($I$22:I25)&lt;=n_T,"Training","Validation")</f>
        <v>Training</v>
      </c>
      <c r="J25" s="3">
        <f t="shared" ca="1" si="0"/>
        <v>0.86508494113946333</v>
      </c>
      <c r="K25" s="52"/>
      <c r="L25" s="52"/>
      <c r="O25" s="3">
        <f>Data_1Ch[[#This Row],[A_q]]</f>
        <v>498.93304243764453</v>
      </c>
      <c r="P25" s="3">
        <f ca="1">Data_1Ch[[#This Row],[A_T]]*$C$11</f>
        <v>535.62201713946388</v>
      </c>
      <c r="Q25" s="3" t="str">
        <f>Data_1Ch[[#This Row],[T / V]]</f>
        <v>Training</v>
      </c>
      <c r="R25" s="3">
        <f ca="1">ABS((Estimates_1Ch[[#This Row],[A_q predicted (b=0)]]-Estimates_1Ch[[#This Row],[A_q measured]])/Estimates_1Ch[[#This Row],[A_q measured]])*100</f>
        <v>7.3534866567600901</v>
      </c>
    </row>
    <row r="26" spans="1:27" x14ac:dyDescent="0.3">
      <c r="A26" s="3" t="s">
        <v>12</v>
      </c>
      <c r="B26" s="3">
        <v>170</v>
      </c>
      <c r="C26" s="3" t="s">
        <v>9</v>
      </c>
      <c r="D26" s="3">
        <v>1</v>
      </c>
      <c r="E26" s="3">
        <v>2</v>
      </c>
      <c r="F26" s="3">
        <v>17.790648849835058</v>
      </c>
      <c r="G26" s="3">
        <v>369.31674307917132</v>
      </c>
      <c r="H26" s="3">
        <v>20.759037300800603</v>
      </c>
      <c r="I26" s="3" t="str">
        <f>IF(ROWS($I$22:I26)&lt;=n_T,"Training","Validation")</f>
        <v>Training</v>
      </c>
      <c r="J26" s="3">
        <f t="shared" ca="1" si="0"/>
        <v>8.3415980725226713E-2</v>
      </c>
      <c r="K26" s="52"/>
      <c r="L26" s="52"/>
      <c r="O26" s="3">
        <f>Data_1Ch[[#This Row],[A_q]]</f>
        <v>369.31674307917132</v>
      </c>
      <c r="P26" s="3">
        <f ca="1">Data_1Ch[[#This Row],[A_T]]*$C$11</f>
        <v>352.94066273937722</v>
      </c>
      <c r="Q26" s="3" t="str">
        <f>Data_1Ch[[#This Row],[T / V]]</f>
        <v>Training</v>
      </c>
      <c r="R26" s="3">
        <f ca="1">ABS((Estimates_1Ch[[#This Row],[A_q predicted (b=0)]]-Estimates_1Ch[[#This Row],[A_q measured]])/Estimates_1Ch[[#This Row],[A_q measured]])*100</f>
        <v>4.4341559505964554</v>
      </c>
    </row>
    <row r="27" spans="1:27" x14ac:dyDescent="0.3">
      <c r="A27" s="3" t="s">
        <v>38</v>
      </c>
      <c r="B27" s="3">
        <v>230</v>
      </c>
      <c r="C27" s="3" t="s">
        <v>9</v>
      </c>
      <c r="D27" s="3">
        <v>1</v>
      </c>
      <c r="E27" s="3">
        <v>2</v>
      </c>
      <c r="F27" s="3">
        <v>27.339335607030389</v>
      </c>
      <c r="G27" s="3">
        <v>517.33538910520599</v>
      </c>
      <c r="H27" s="3">
        <v>18.922749131188528</v>
      </c>
      <c r="I27" s="3" t="str">
        <f>IF(ROWS($I$22:I27)&lt;=n_T,"Training","Validation")</f>
        <v>Training</v>
      </c>
      <c r="J27" s="3">
        <f t="shared" ca="1" si="0"/>
        <v>0.36796277145361689</v>
      </c>
      <c r="K27" s="52"/>
      <c r="L27" s="52"/>
      <c r="O27" s="3">
        <f>Data_1Ch[[#This Row],[A_q]]</f>
        <v>517.33538910520599</v>
      </c>
      <c r="P27" s="3">
        <f ca="1">Data_1Ch[[#This Row],[A_T]]*$C$11</f>
        <v>542.37275489190597</v>
      </c>
      <c r="Q27" s="3" t="str">
        <f>Data_1Ch[[#This Row],[T / V]]</f>
        <v>Training</v>
      </c>
      <c r="R27" s="3">
        <f ca="1">ABS((Estimates_1Ch[[#This Row],[A_q predicted (b=0)]]-Estimates_1Ch[[#This Row],[A_q measured]])/Estimates_1Ch[[#This Row],[A_q measured]])*100</f>
        <v>4.8396777630088534</v>
      </c>
    </row>
    <row r="28" spans="1:27" x14ac:dyDescent="0.3">
      <c r="A28" s="3" t="s">
        <v>11</v>
      </c>
      <c r="B28" s="3">
        <v>170</v>
      </c>
      <c r="C28" s="3" t="s">
        <v>9</v>
      </c>
      <c r="D28" s="3">
        <v>1</v>
      </c>
      <c r="E28" s="3">
        <v>1</v>
      </c>
      <c r="F28" s="3">
        <v>11.990650156666428</v>
      </c>
      <c r="G28" s="3">
        <v>261.17692526275397</v>
      </c>
      <c r="H28" s="3">
        <v>21.781715073852585</v>
      </c>
      <c r="I28" s="3" t="str">
        <f>IF(ROWS($I$22:I28)&lt;=n_T,"Training","Validation")</f>
        <v>Training</v>
      </c>
      <c r="J28" s="3">
        <f t="shared" ca="1" si="0"/>
        <v>0.71092634193898285</v>
      </c>
      <c r="K28" s="52"/>
      <c r="L28" s="52"/>
      <c r="O28" s="3">
        <f>Data_1Ch[[#This Row],[A_q]]</f>
        <v>261.17692526275397</v>
      </c>
      <c r="P28" s="3">
        <f ca="1">Data_1Ch[[#This Row],[A_T]]*$C$11</f>
        <v>237.87710322938008</v>
      </c>
      <c r="Q28" s="3" t="str">
        <f>Data_1Ch[[#This Row],[T / V]]</f>
        <v>Training</v>
      </c>
      <c r="R28" s="3">
        <f ca="1">ABS((Estimates_1Ch[[#This Row],[A_q predicted (b=0)]]-Estimates_1Ch[[#This Row],[A_q measured]])/Estimates_1Ch[[#This Row],[A_q measured]])*100</f>
        <v>8.9210875003346395</v>
      </c>
    </row>
    <row r="29" spans="1:27" x14ac:dyDescent="0.3">
      <c r="A29" s="3" t="s">
        <v>8</v>
      </c>
      <c r="B29" s="3">
        <v>170</v>
      </c>
      <c r="C29" s="3" t="s">
        <v>9</v>
      </c>
      <c r="D29" s="3">
        <v>1</v>
      </c>
      <c r="E29" s="3">
        <v>1</v>
      </c>
      <c r="F29" s="3">
        <v>6.9743999999999957</v>
      </c>
      <c r="G29" s="3">
        <v>169.83240000000001</v>
      </c>
      <c r="H29" s="3">
        <v>24.350825877494856</v>
      </c>
      <c r="I29" s="3" t="str">
        <f>IF(ROWS($I$22:I29)&lt;=n_T,"Training","Validation")</f>
        <v>Training</v>
      </c>
      <c r="J29" s="3">
        <f t="shared" ca="1" si="0"/>
        <v>0.78127928563978122</v>
      </c>
      <c r="K29" s="52"/>
      <c r="L29" s="52"/>
      <c r="O29" s="3">
        <f>Data_1Ch[[#This Row],[A_q]]</f>
        <v>169.83240000000001</v>
      </c>
      <c r="P29" s="3">
        <f ca="1">Data_1Ch[[#This Row],[A_T]]*$C$11</f>
        <v>138.36197763143039</v>
      </c>
      <c r="Q29" s="3" t="str">
        <f>Data_1Ch[[#This Row],[T / V]]</f>
        <v>Training</v>
      </c>
      <c r="R29" s="3">
        <f ca="1">ABS((Estimates_1Ch[[#This Row],[A_q predicted (b=0)]]-Estimates_1Ch[[#This Row],[A_q measured]])/Estimates_1Ch[[#This Row],[A_q measured]])*100</f>
        <v>18.530281835839105</v>
      </c>
    </row>
    <row r="30" spans="1:27" x14ac:dyDescent="0.3">
      <c r="A30" s="3" t="s">
        <v>12</v>
      </c>
      <c r="B30" s="3">
        <v>170</v>
      </c>
      <c r="C30" s="3" t="s">
        <v>10</v>
      </c>
      <c r="D30" s="3">
        <v>1</v>
      </c>
      <c r="E30" s="3">
        <v>3</v>
      </c>
      <c r="F30" s="3">
        <v>7.7994267951314544</v>
      </c>
      <c r="G30" s="3">
        <v>182.63889794765294</v>
      </c>
      <c r="H30" s="3">
        <v>23.416964187888716</v>
      </c>
      <c r="I30" s="3" t="str">
        <f>IF(ROWS($I$22:I30)&lt;=n_T,"Training","Validation")</f>
        <v>Training</v>
      </c>
      <c r="J30" s="3">
        <f t="shared" ca="1" si="0"/>
        <v>0.86904662839094349</v>
      </c>
      <c r="K30" s="52"/>
      <c r="L30" s="52"/>
      <c r="O30" s="3">
        <f>Data_1Ch[[#This Row],[A_q]]</f>
        <v>182.63889794765294</v>
      </c>
      <c r="P30" s="3">
        <f ca="1">Data_1Ch[[#This Row],[A_T]]*$C$11</f>
        <v>154.729312308723</v>
      </c>
      <c r="Q30" s="3" t="str">
        <f>Data_1Ch[[#This Row],[T / V]]</f>
        <v>Training</v>
      </c>
      <c r="R30" s="3">
        <f ca="1">ABS((Estimates_1Ch[[#This Row],[A_q predicted (b=0)]]-Estimates_1Ch[[#This Row],[A_q measured]])/Estimates_1Ch[[#This Row],[A_q measured]])*100</f>
        <v>15.281293280103588</v>
      </c>
    </row>
    <row r="31" spans="1:27" x14ac:dyDescent="0.3">
      <c r="A31" s="3" t="s">
        <v>37</v>
      </c>
      <c r="B31" s="3">
        <v>170</v>
      </c>
      <c r="C31" s="3" t="s">
        <v>10</v>
      </c>
      <c r="D31" s="3">
        <v>1</v>
      </c>
      <c r="E31" s="3">
        <v>1</v>
      </c>
      <c r="F31" s="3">
        <v>14.619000000000636</v>
      </c>
      <c r="G31" s="3">
        <v>301.61215956541196</v>
      </c>
      <c r="H31" s="3">
        <v>20.631517857951902</v>
      </c>
      <c r="I31" s="3" t="str">
        <f>IF(ROWS($I$22:I31)&lt;=n_T,"Training","Validation")</f>
        <v>Training</v>
      </c>
      <c r="J31" s="3">
        <f t="shared" ca="1" si="0"/>
        <v>0.60576733584886955</v>
      </c>
      <c r="K31" s="52"/>
      <c r="L31" s="52"/>
      <c r="O31" s="3">
        <f>Data_1Ch[[#This Row],[A_q]]</f>
        <v>301.61215956541196</v>
      </c>
      <c r="P31" s="3">
        <f ca="1">Data_1Ch[[#This Row],[A_T]]*$C$11</f>
        <v>290.01975094545338</v>
      </c>
      <c r="Q31" s="3" t="str">
        <f>Data_1Ch[[#This Row],[T / V]]</f>
        <v>Training</v>
      </c>
      <c r="R31" s="3">
        <f ca="1">ABS((Estimates_1Ch[[#This Row],[A_q predicted (b=0)]]-Estimates_1Ch[[#This Row],[A_q measured]])/Estimates_1Ch[[#This Row],[A_q measured]])*100</f>
        <v>3.8434818532057493</v>
      </c>
    </row>
    <row r="32" spans="1:27" x14ac:dyDescent="0.3">
      <c r="A32" s="3" t="s">
        <v>11</v>
      </c>
      <c r="B32" s="3">
        <v>170</v>
      </c>
      <c r="C32" s="3" t="s">
        <v>9</v>
      </c>
      <c r="D32" s="3">
        <v>1</v>
      </c>
      <c r="E32" s="3">
        <v>3</v>
      </c>
      <c r="F32" s="3">
        <v>12.285332570093937</v>
      </c>
      <c r="G32" s="3">
        <v>256.57732728687955</v>
      </c>
      <c r="H32" s="3">
        <v>20.884849947934107</v>
      </c>
      <c r="I32" s="3" t="str">
        <f>IF(ROWS($I$22:I32)&lt;=n_T,"Training","Validation")</f>
        <v>Training</v>
      </c>
      <c r="J32" s="3">
        <f t="shared" ca="1" si="0"/>
        <v>0.58086208693036834</v>
      </c>
      <c r="K32" s="52"/>
      <c r="L32" s="52"/>
      <c r="O32" s="3">
        <f>Data_1Ch[[#This Row],[A_q]]</f>
        <v>256.57732728687955</v>
      </c>
      <c r="P32" s="3">
        <f ca="1">Data_1Ch[[#This Row],[A_T]]*$C$11</f>
        <v>243.72317479037932</v>
      </c>
      <c r="Q32" s="3" t="str">
        <f>Data_1Ch[[#This Row],[T / V]]</f>
        <v>Training</v>
      </c>
      <c r="R32" s="3">
        <f ca="1">ABS((Estimates_1Ch[[#This Row],[A_q predicted (b=0)]]-Estimates_1Ch[[#This Row],[A_q measured]])/Estimates_1Ch[[#This Row],[A_q measured]])*100</f>
        <v>5.00985517014447</v>
      </c>
    </row>
    <row r="33" spans="1:27" s="2" customFormat="1" x14ac:dyDescent="0.3">
      <c r="A33" s="3" t="s">
        <v>12</v>
      </c>
      <c r="B33" s="3">
        <v>170</v>
      </c>
      <c r="C33" s="3" t="s">
        <v>10</v>
      </c>
      <c r="D33" s="3">
        <v>1</v>
      </c>
      <c r="E33" s="3">
        <v>1</v>
      </c>
      <c r="F33" s="3">
        <v>13.042056671598727</v>
      </c>
      <c r="G33" s="3">
        <v>266.10625346834951</v>
      </c>
      <c r="H33" s="3">
        <v>20.403703201799502</v>
      </c>
      <c r="I33" s="3" t="str">
        <f>IF(ROWS($I$22:I33)&lt;=n_T,"Training","Validation")</f>
        <v>Training</v>
      </c>
      <c r="J33" s="3">
        <f t="shared" ca="1" si="0"/>
        <v>0.59174744168292759</v>
      </c>
      <c r="K33" s="52"/>
      <c r="L33" s="52"/>
      <c r="M33" s="8"/>
      <c r="N33" s="3"/>
      <c r="O33" s="3">
        <f>Data_1Ch[[#This Row],[A_q]]</f>
        <v>266.10625346834951</v>
      </c>
      <c r="P33" s="3">
        <f ca="1">Data_1Ch[[#This Row],[A_T]]*$C$11</f>
        <v>258.73548311877602</v>
      </c>
      <c r="Q33" s="3" t="str">
        <f>Data_1Ch[[#This Row],[T / V]]</f>
        <v>Training</v>
      </c>
      <c r="R33" s="3">
        <f ca="1">ABS((Estimates_1Ch[[#This Row],[A_q predicted (b=0)]]-Estimates_1Ch[[#This Row],[A_q measured]])/Estimates_1Ch[[#This Row],[A_q measured]])*100</f>
        <v>2.7698598787157644</v>
      </c>
      <c r="V33"/>
      <c r="W33"/>
      <c r="X33"/>
      <c r="Y33"/>
      <c r="Z33"/>
      <c r="AA33"/>
    </row>
    <row r="34" spans="1:27" s="2" customFormat="1" x14ac:dyDescent="0.3">
      <c r="A34" s="3" t="s">
        <v>8</v>
      </c>
      <c r="B34" s="3">
        <v>170</v>
      </c>
      <c r="C34" s="3" t="s">
        <v>9</v>
      </c>
      <c r="D34" s="3">
        <v>1</v>
      </c>
      <c r="E34" s="3">
        <v>3</v>
      </c>
      <c r="F34" s="3">
        <v>11.346010588618963</v>
      </c>
      <c r="G34" s="3">
        <v>205.62869365733505</v>
      </c>
      <c r="H34" s="3">
        <v>18.123435726703669</v>
      </c>
      <c r="I34" s="3" t="str">
        <f>IF(ROWS($I$22:I34)&lt;=n_T,"Training","Validation")</f>
        <v>Training</v>
      </c>
      <c r="J34" s="3">
        <f t="shared" ca="1" si="0"/>
        <v>0.69433224368823865</v>
      </c>
      <c r="K34" s="52"/>
      <c r="L34" s="52"/>
      <c r="M34" s="8"/>
      <c r="N34" s="3"/>
      <c r="O34" s="3">
        <f>Data_1Ch[[#This Row],[A_q]]</f>
        <v>205.62869365733505</v>
      </c>
      <c r="P34" s="3">
        <f ca="1">Data_1Ch[[#This Row],[A_T]]*$C$11</f>
        <v>225.08838943399721</v>
      </c>
      <c r="Q34" s="3" t="str">
        <f>Data_1Ch[[#This Row],[T / V]]</f>
        <v>Training</v>
      </c>
      <c r="R34" s="3">
        <f ca="1">ABS((Estimates_1Ch[[#This Row],[A_q predicted (b=0)]]-Estimates_1Ch[[#This Row],[A_q measured]])/Estimates_1Ch[[#This Row],[A_q measured]])*100</f>
        <v>9.4635118428998517</v>
      </c>
      <c r="V34"/>
      <c r="W34"/>
      <c r="X34"/>
      <c r="Y34"/>
      <c r="Z34"/>
      <c r="AA34"/>
    </row>
    <row r="35" spans="1:27" s="2" customFormat="1" x14ac:dyDescent="0.3">
      <c r="A35" s="3" t="s">
        <v>37</v>
      </c>
      <c r="B35" s="3">
        <v>170</v>
      </c>
      <c r="C35" s="3" t="s">
        <v>9</v>
      </c>
      <c r="D35" s="3">
        <v>1</v>
      </c>
      <c r="E35" s="3">
        <v>3</v>
      </c>
      <c r="F35" s="3">
        <v>21.178307900317577</v>
      </c>
      <c r="G35" s="3">
        <v>403.6620200942827</v>
      </c>
      <c r="H35" s="3">
        <v>19.060163918394522</v>
      </c>
      <c r="I35" s="3" t="str">
        <f>IF(ROWS($I$22:I35)&lt;=n_T,"Training","Validation")</f>
        <v>Training</v>
      </c>
      <c r="J35" s="3">
        <f t="shared" ca="1" si="0"/>
        <v>0.7099110441194536</v>
      </c>
      <c r="K35" s="52"/>
      <c r="L35" s="52"/>
      <c r="M35" s="8"/>
      <c r="N35" s="3"/>
      <c r="O35" s="3">
        <f>Data_1Ch[[#This Row],[A_q]]</f>
        <v>403.6620200942827</v>
      </c>
      <c r="P35" s="3">
        <f ca="1">Data_1Ch[[#This Row],[A_T]]*$C$11</f>
        <v>420.14690352937708</v>
      </c>
      <c r="Q35" s="3" t="str">
        <f>Data_1Ch[[#This Row],[T / V]]</f>
        <v>Training</v>
      </c>
      <c r="R35" s="3">
        <f ca="1">ABS((Estimates_1Ch[[#This Row],[A_q predicted (b=0)]]-Estimates_1Ch[[#This Row],[A_q measured]])/Estimates_1Ch[[#This Row],[A_q measured]])*100</f>
        <v>4.0838331610301211</v>
      </c>
      <c r="V35"/>
      <c r="W35"/>
      <c r="X35"/>
      <c r="Y35"/>
      <c r="Z35"/>
      <c r="AA35"/>
    </row>
    <row r="36" spans="1:27" s="2" customFormat="1" x14ac:dyDescent="0.3">
      <c r="A36" s="3" t="s">
        <v>37</v>
      </c>
      <c r="B36" s="3">
        <v>170</v>
      </c>
      <c r="C36" s="3" t="s">
        <v>9</v>
      </c>
      <c r="D36" s="3">
        <v>1</v>
      </c>
      <c r="E36" s="3">
        <v>1</v>
      </c>
      <c r="F36" s="3">
        <v>20.136299999999675</v>
      </c>
      <c r="G36" s="3">
        <v>422.07809643010341</v>
      </c>
      <c r="H36" s="3">
        <v>20.961055230112297</v>
      </c>
      <c r="I36" s="3" t="str">
        <f>IF(ROWS($I$22:I36)&lt;=n_T,"Training","Validation")</f>
        <v>Training</v>
      </c>
      <c r="J36" s="3">
        <f t="shared" ca="1" si="0"/>
        <v>0.7866163437012843</v>
      </c>
      <c r="K36" s="52"/>
      <c r="L36" s="52"/>
      <c r="M36" s="8"/>
      <c r="N36" s="3"/>
      <c r="O36" s="3">
        <f>Data_1Ch[[#This Row],[A_q]]</f>
        <v>422.07809643010341</v>
      </c>
      <c r="P36" s="3">
        <f ca="1">Data_1Ch[[#This Row],[A_T]]*$C$11</f>
        <v>399.47497851854331</v>
      </c>
      <c r="Q36" s="3" t="str">
        <f>Data_1Ch[[#This Row],[T / V]]</f>
        <v>Training</v>
      </c>
      <c r="R36" s="3">
        <f ca="1">ABS((Estimates_1Ch[[#This Row],[A_q predicted (b=0)]]-Estimates_1Ch[[#This Row],[A_q measured]])/Estimates_1Ch[[#This Row],[A_q measured]])*100</f>
        <v>5.3551980315337699</v>
      </c>
      <c r="V36"/>
      <c r="W36"/>
      <c r="X36"/>
      <c r="Y36"/>
      <c r="Z36"/>
      <c r="AA36"/>
    </row>
    <row r="37" spans="1:27" s="2" customFormat="1" x14ac:dyDescent="0.3">
      <c r="A37" s="3" t="s">
        <v>37</v>
      </c>
      <c r="B37" s="3">
        <v>170</v>
      </c>
      <c r="C37" s="3" t="s">
        <v>10</v>
      </c>
      <c r="D37" s="3">
        <v>1</v>
      </c>
      <c r="E37" s="3">
        <v>3</v>
      </c>
      <c r="F37" s="3">
        <v>17.970455508345797</v>
      </c>
      <c r="G37" s="3">
        <v>340.37905812139587</v>
      </c>
      <c r="H37" s="3">
        <v>18.941036745747365</v>
      </c>
      <c r="I37" s="3" t="str">
        <f>IF(ROWS($I$22:I37)&lt;=n_T,"Training","Validation")</f>
        <v>Training</v>
      </c>
      <c r="J37" s="3">
        <f t="shared" ca="1" si="0"/>
        <v>0.54120806787603926</v>
      </c>
      <c r="K37" s="52"/>
      <c r="L37" s="52"/>
      <c r="M37" s="8"/>
      <c r="N37" s="3"/>
      <c r="O37" s="3">
        <f>Data_1Ch[[#This Row],[A_q]]</f>
        <v>340.37905812139587</v>
      </c>
      <c r="P37" s="3">
        <f ca="1">Data_1Ch[[#This Row],[A_T]]*$C$11</f>
        <v>356.50776598307488</v>
      </c>
      <c r="Q37" s="3" t="str">
        <f>Data_1Ch[[#This Row],[T / V]]</f>
        <v>Training</v>
      </c>
      <c r="R37" s="3">
        <f ca="1">ABS((Estimates_1Ch[[#This Row],[A_q predicted (b=0)]]-Estimates_1Ch[[#This Row],[A_q measured]])/Estimates_1Ch[[#This Row],[A_q measured]])*100</f>
        <v>4.7384548129064727</v>
      </c>
      <c r="V37"/>
      <c r="W37"/>
      <c r="X37"/>
      <c r="Y37"/>
      <c r="Z37"/>
      <c r="AA37"/>
    </row>
    <row r="38" spans="1:27" s="2" customFormat="1" x14ac:dyDescent="0.3">
      <c r="A38" s="3" t="s">
        <v>38</v>
      </c>
      <c r="B38" s="3">
        <v>230</v>
      </c>
      <c r="C38" s="3" t="s">
        <v>9</v>
      </c>
      <c r="D38" s="3">
        <v>1</v>
      </c>
      <c r="E38" s="3">
        <v>1</v>
      </c>
      <c r="F38" s="3">
        <v>26.190323511765527</v>
      </c>
      <c r="G38" s="3">
        <v>521.36237802390292</v>
      </c>
      <c r="H38" s="3">
        <v>19.906679571548263</v>
      </c>
      <c r="I38" s="3" t="str">
        <f>IF(ROWS($I$22:I38)&lt;=n_T,"Training","Validation")</f>
        <v>Training</v>
      </c>
      <c r="J38" s="3">
        <f t="shared" ca="1" si="0"/>
        <v>0.16770096905841858</v>
      </c>
      <c r="K38" s="52"/>
      <c r="L38" s="52"/>
      <c r="M38" s="8"/>
      <c r="N38" s="3"/>
      <c r="O38" s="3">
        <f>Data_1Ch[[#This Row],[A_q]]</f>
        <v>521.36237802390292</v>
      </c>
      <c r="P38" s="3">
        <f ca="1">Data_1Ch[[#This Row],[A_T]]*$C$11</f>
        <v>519.57802189361507</v>
      </c>
      <c r="Q38" s="3" t="str">
        <f>Data_1Ch[[#This Row],[T / V]]</f>
        <v>Training</v>
      </c>
      <c r="R38" s="3">
        <f ca="1">ABS((Estimates_1Ch[[#This Row],[A_q predicted (b=0)]]-Estimates_1Ch[[#This Row],[A_q measured]])/Estimates_1Ch[[#This Row],[A_q measured]])*100</f>
        <v>0.34224873245572768</v>
      </c>
      <c r="V38"/>
      <c r="W38"/>
      <c r="X38"/>
      <c r="Y38"/>
      <c r="Z38"/>
      <c r="AA38"/>
    </row>
    <row r="39" spans="1:27" s="2" customFormat="1" x14ac:dyDescent="0.3">
      <c r="A39" s="3" t="s">
        <v>11</v>
      </c>
      <c r="B39" s="3">
        <v>170</v>
      </c>
      <c r="C39" s="3" t="s">
        <v>10</v>
      </c>
      <c r="D39" s="3">
        <v>1</v>
      </c>
      <c r="E39" s="3">
        <v>2</v>
      </c>
      <c r="F39" s="3">
        <v>11.370389065312704</v>
      </c>
      <c r="G39" s="3">
        <v>218.07088535308668</v>
      </c>
      <c r="H39" s="3">
        <v>19.178841119724638</v>
      </c>
      <c r="I39" s="3" t="str">
        <f>IF(ROWS($I$22:I39)&lt;=n_T,"Training","Validation")</f>
        <v>Training</v>
      </c>
      <c r="J39" s="3">
        <f t="shared" ca="1" si="0"/>
        <v>0.79553840464568715</v>
      </c>
      <c r="K39" s="52"/>
      <c r="L39" s="52"/>
      <c r="M39" s="8"/>
      <c r="N39" s="3"/>
      <c r="O39" s="3">
        <f>Data_1Ch[[#This Row],[A_q]]</f>
        <v>218.07088535308668</v>
      </c>
      <c r="P39" s="3">
        <f ca="1">Data_1Ch[[#This Row],[A_T]]*$C$11</f>
        <v>225.57202304362497</v>
      </c>
      <c r="Q39" s="3" t="str">
        <f>Data_1Ch[[#This Row],[T / V]]</f>
        <v>Training</v>
      </c>
      <c r="R39" s="3">
        <f ca="1">ABS((Estimates_1Ch[[#This Row],[A_q predicted (b=0)]]-Estimates_1Ch[[#This Row],[A_q measured]])/Estimates_1Ch[[#This Row],[A_q measured]])*100</f>
        <v>3.4397703656739482</v>
      </c>
      <c r="V39"/>
      <c r="W39"/>
      <c r="X39"/>
      <c r="Y39"/>
      <c r="Z39"/>
      <c r="AA39"/>
    </row>
    <row r="40" spans="1:27" s="2" customFormat="1" x14ac:dyDescent="0.3">
      <c r="A40" s="3" t="s">
        <v>8</v>
      </c>
      <c r="B40" s="3">
        <v>170</v>
      </c>
      <c r="C40" s="3" t="s">
        <v>10</v>
      </c>
      <c r="D40" s="3">
        <v>1</v>
      </c>
      <c r="E40" s="3">
        <v>3</v>
      </c>
      <c r="F40" s="3">
        <v>7.872829771852226</v>
      </c>
      <c r="G40" s="3">
        <v>156.15565369073173</v>
      </c>
      <c r="H40" s="3">
        <v>19.834755509262493</v>
      </c>
      <c r="I40" s="3" t="str">
        <f>IF(ROWS($I$22:I40)&lt;=n_T,"Training","Validation")</f>
        <v>Training</v>
      </c>
      <c r="J40" s="3">
        <f t="shared" ca="1" si="0"/>
        <v>0.38204698795384906</v>
      </c>
      <c r="K40" s="52"/>
      <c r="L40" s="52"/>
      <c r="M40" s="8"/>
      <c r="N40" s="3"/>
      <c r="O40" s="3">
        <f>Data_1Ch[[#This Row],[A_q]]</f>
        <v>156.15565369073173</v>
      </c>
      <c r="P40" s="3">
        <f ca="1">Data_1Ch[[#This Row],[A_T]]*$C$11</f>
        <v>156.1855208747817</v>
      </c>
      <c r="Q40" s="3" t="str">
        <f>Data_1Ch[[#This Row],[T / V]]</f>
        <v>Training</v>
      </c>
      <c r="R40" s="3">
        <f ca="1">ABS((Estimates_1Ch[[#This Row],[A_q predicted (b=0)]]-Estimates_1Ch[[#This Row],[A_q measured]])/Estimates_1Ch[[#This Row],[A_q measured]])*100</f>
        <v>1.912654671417072E-2</v>
      </c>
      <c r="V40"/>
      <c r="W40"/>
      <c r="X40"/>
      <c r="Y40"/>
      <c r="Z40"/>
      <c r="AA40"/>
    </row>
    <row r="41" spans="1:27" s="2" customFormat="1" x14ac:dyDescent="0.3">
      <c r="A41" s="3" t="s">
        <v>12</v>
      </c>
      <c r="B41" s="3">
        <v>170</v>
      </c>
      <c r="C41" s="3" t="s">
        <v>9</v>
      </c>
      <c r="D41" s="3">
        <v>1</v>
      </c>
      <c r="E41" s="3">
        <v>3</v>
      </c>
      <c r="F41" s="3">
        <v>17.283599999999968</v>
      </c>
      <c r="G41" s="3">
        <v>360.78210000000007</v>
      </c>
      <c r="H41" s="3">
        <v>20.874244948969007</v>
      </c>
      <c r="I41" s="3" t="str">
        <f>IF(ROWS($I$22:I41)&lt;=n_T,"Training","Validation")</f>
        <v>Training</v>
      </c>
      <c r="J41" s="3">
        <f t="shared" ca="1" si="0"/>
        <v>0.281387387510044</v>
      </c>
      <c r="K41" s="52"/>
      <c r="L41" s="52"/>
      <c r="M41" s="8"/>
      <c r="N41" s="3"/>
      <c r="O41" s="3">
        <f>Data_1Ch[[#This Row],[A_q]]</f>
        <v>360.78210000000007</v>
      </c>
      <c r="P41" s="3">
        <f ca="1">Data_1Ch[[#This Row],[A_T]]*$C$11</f>
        <v>342.88154917850812</v>
      </c>
      <c r="Q41" s="3" t="str">
        <f>Data_1Ch[[#This Row],[T / V]]</f>
        <v>Training</v>
      </c>
      <c r="R41" s="3">
        <f ca="1">ABS((Estimates_1Ch[[#This Row],[A_q predicted (b=0)]]-Estimates_1Ch[[#This Row],[A_q measured]])/Estimates_1Ch[[#This Row],[A_q measured]])*100</f>
        <v>4.961596160533448</v>
      </c>
      <c r="V41"/>
      <c r="W41"/>
      <c r="X41"/>
      <c r="Y41"/>
      <c r="Z41"/>
      <c r="AA41"/>
    </row>
    <row r="42" spans="1:27" s="2" customFormat="1" x14ac:dyDescent="0.3">
      <c r="A42" s="3" t="s">
        <v>11</v>
      </c>
      <c r="B42" s="3">
        <v>170</v>
      </c>
      <c r="C42" s="3" t="s">
        <v>10</v>
      </c>
      <c r="D42" s="3">
        <v>1</v>
      </c>
      <c r="E42" s="3">
        <v>3</v>
      </c>
      <c r="F42" s="3">
        <v>11.550733538461678</v>
      </c>
      <c r="G42" s="3">
        <v>217.63550879854768</v>
      </c>
      <c r="H42" s="3">
        <v>18.84170456134791</v>
      </c>
      <c r="I42" s="3" t="str">
        <f>IF(ROWS($I$22:I42)&lt;=n_T,"Training","Validation")</f>
        <v>Training</v>
      </c>
      <c r="J42" s="3">
        <f t="shared" ca="1" si="0"/>
        <v>0.68633037776697225</v>
      </c>
      <c r="K42" s="52"/>
      <c r="L42" s="52"/>
      <c r="M42" s="8"/>
      <c r="N42" s="3"/>
      <c r="O42" s="3">
        <f>Data_1Ch[[#This Row],[A_q]]</f>
        <v>217.63550879854768</v>
      </c>
      <c r="P42" s="3">
        <f ca="1">Data_1Ch[[#This Row],[A_T]]*$C$11</f>
        <v>229.14979574949075</v>
      </c>
      <c r="Q42" s="3" t="str">
        <f>Data_1Ch[[#This Row],[T / V]]</f>
        <v>Training</v>
      </c>
      <c r="R42" s="3">
        <f ca="1">ABS((Estimates_1Ch[[#This Row],[A_q predicted (b=0)]]-Estimates_1Ch[[#This Row],[A_q measured]])/Estimates_1Ch[[#This Row],[A_q measured]])*100</f>
        <v>5.2906288199510536</v>
      </c>
      <c r="V42"/>
      <c r="W42"/>
      <c r="X42"/>
      <c r="Y42"/>
      <c r="Z42"/>
      <c r="AA42"/>
    </row>
    <row r="43" spans="1:27" s="2" customFormat="1" x14ac:dyDescent="0.3">
      <c r="A43" s="3" t="s">
        <v>11</v>
      </c>
      <c r="B43" s="3">
        <v>170</v>
      </c>
      <c r="C43" s="3" t="s">
        <v>9</v>
      </c>
      <c r="D43" s="3">
        <v>1</v>
      </c>
      <c r="E43" s="3">
        <v>2</v>
      </c>
      <c r="F43" s="3">
        <v>12.414593957682301</v>
      </c>
      <c r="G43" s="3">
        <v>251.89549266775174</v>
      </c>
      <c r="H43" s="3">
        <v>20.290272362220573</v>
      </c>
      <c r="I43" s="3" t="str">
        <f>IF(ROWS($I$22:I43)&lt;=n_T,"Training","Validation")</f>
        <v>Validation</v>
      </c>
      <c r="J43" s="3">
        <f t="shared" ca="1" si="0"/>
        <v>0.52271779141243901</v>
      </c>
      <c r="K43" s="52"/>
      <c r="L43" s="52"/>
      <c r="M43" s="8"/>
      <c r="N43" s="3"/>
      <c r="O43" s="3">
        <f>Data_1Ch[[#This Row],[A_q]]</f>
        <v>251.89549266775174</v>
      </c>
      <c r="P43" s="3">
        <f ca="1">Data_1Ch[[#This Row],[A_T]]*$C$11</f>
        <v>246.28753318939698</v>
      </c>
      <c r="Q43" s="3" t="str">
        <f>Data_1Ch[[#This Row],[T / V]]</f>
        <v>Validation</v>
      </c>
      <c r="R43" s="3">
        <f ca="1">ABS((Estimates_1Ch[[#This Row],[A_q predicted (b=0)]]-Estimates_1Ch[[#This Row],[A_q measured]])/Estimates_1Ch[[#This Row],[A_q measured]])*100</f>
        <v>2.2263040195608479</v>
      </c>
      <c r="V43"/>
      <c r="W43"/>
      <c r="X43"/>
      <c r="Y43"/>
      <c r="Z43"/>
      <c r="AA43"/>
    </row>
    <row r="44" spans="1:27" s="2" customFormat="1" x14ac:dyDescent="0.3">
      <c r="A44" s="3" t="s">
        <v>37</v>
      </c>
      <c r="B44" s="3">
        <v>170</v>
      </c>
      <c r="C44" s="3" t="s">
        <v>10</v>
      </c>
      <c r="D44" s="3">
        <v>1</v>
      </c>
      <c r="E44" s="3">
        <v>2</v>
      </c>
      <c r="F44" s="3">
        <v>17.935800000001304</v>
      </c>
      <c r="G44" s="3">
        <v>365.21590909090946</v>
      </c>
      <c r="H44" s="3">
        <v>20.36239861566715</v>
      </c>
      <c r="I44" s="3" t="str">
        <f>IF(ROWS($I$22:I44)&lt;=n_T,"Training","Validation")</f>
        <v>Validation</v>
      </c>
      <c r="J44" s="3">
        <f t="shared" ca="1" si="0"/>
        <v>0.54298962872875034</v>
      </c>
      <c r="K44" s="52"/>
      <c r="L44" s="52"/>
      <c r="M44" s="8"/>
      <c r="N44" s="3"/>
      <c r="O44" s="3">
        <f>Data_1Ch[[#This Row],[A_q]]</f>
        <v>365.21590909090946</v>
      </c>
      <c r="P44" s="3">
        <f ca="1">Data_1Ch[[#This Row],[A_T]]*$C$11</f>
        <v>355.82025097527975</v>
      </c>
      <c r="Q44" s="3" t="str">
        <f>Data_1Ch[[#This Row],[T / V]]</f>
        <v>Validation</v>
      </c>
      <c r="R44" s="3">
        <f ca="1">ABS((Estimates_1Ch[[#This Row],[A_q predicted (b=0)]]-Estimates_1Ch[[#This Row],[A_q measured]])/Estimates_1Ch[[#This Row],[A_q measured]])*100</f>
        <v>2.5726311153906907</v>
      </c>
      <c r="V44"/>
      <c r="W44"/>
      <c r="X44"/>
      <c r="Y44"/>
      <c r="Z44"/>
      <c r="AA44"/>
    </row>
    <row r="45" spans="1:27" s="2" customFormat="1" x14ac:dyDescent="0.3">
      <c r="A45" s="3" t="s">
        <v>37</v>
      </c>
      <c r="B45" s="3">
        <v>170</v>
      </c>
      <c r="C45" s="3" t="s">
        <v>9</v>
      </c>
      <c r="D45" s="3">
        <v>1</v>
      </c>
      <c r="E45" s="3">
        <v>2</v>
      </c>
      <c r="F45" s="3">
        <v>20.233381415732683</v>
      </c>
      <c r="G45" s="3">
        <v>404.99093146994846</v>
      </c>
      <c r="H45" s="3">
        <v>20.015978701169711</v>
      </c>
      <c r="I45" s="3" t="str">
        <f>IF(ROWS($I$22:I45)&lt;=n_T,"Training","Validation")</f>
        <v>Validation</v>
      </c>
      <c r="J45" s="3">
        <f t="shared" ca="1" si="0"/>
        <v>0.7646426536522718</v>
      </c>
      <c r="K45" s="52"/>
      <c r="L45" s="52"/>
      <c r="M45" s="8"/>
      <c r="N45" s="3"/>
      <c r="O45" s="3">
        <f>Data_1Ch[[#This Row],[A_q]]</f>
        <v>404.99093146994846</v>
      </c>
      <c r="P45" s="3">
        <f ca="1">Data_1Ch[[#This Row],[A_T]]*$C$11</f>
        <v>401.40093296223421</v>
      </c>
      <c r="Q45" s="3" t="str">
        <f>Data_1Ch[[#This Row],[T / V]]</f>
        <v>Validation</v>
      </c>
      <c r="R45" s="3">
        <f ca="1">ABS((Estimates_1Ch[[#This Row],[A_q predicted (b=0)]]-Estimates_1Ch[[#This Row],[A_q measured]])/Estimates_1Ch[[#This Row],[A_q measured]])*100</f>
        <v>0.88643923326481799</v>
      </c>
      <c r="V45"/>
      <c r="W45"/>
      <c r="X45"/>
      <c r="Y45"/>
      <c r="Z45"/>
      <c r="AA45"/>
    </row>
    <row r="46" spans="1:27" s="2" customFormat="1" x14ac:dyDescent="0.3">
      <c r="A46" s="3" t="s">
        <v>12</v>
      </c>
      <c r="B46" s="3">
        <v>170</v>
      </c>
      <c r="C46" s="3" t="s">
        <v>9</v>
      </c>
      <c r="D46" s="3">
        <v>1</v>
      </c>
      <c r="E46" s="3">
        <v>1</v>
      </c>
      <c r="F46" s="3">
        <v>19.086000000000098</v>
      </c>
      <c r="G46" s="3">
        <v>387.39479999999998</v>
      </c>
      <c r="H46" s="3">
        <v>20.297327884313002</v>
      </c>
      <c r="I46" s="3" t="str">
        <f>IF(ROWS($I$22:I46)&lt;=n_T,"Training","Validation")</f>
        <v>Validation</v>
      </c>
      <c r="J46" s="3">
        <f t="shared" ca="1" si="0"/>
        <v>0.95454337728047445</v>
      </c>
      <c r="K46" s="52"/>
      <c r="L46" s="52"/>
      <c r="M46" s="8"/>
      <c r="N46" s="3"/>
      <c r="O46" s="3">
        <f>Data_1Ch[[#This Row],[A_q]]</f>
        <v>387.39479999999998</v>
      </c>
      <c r="P46" s="3">
        <f ca="1">Data_1Ch[[#This Row],[A_T]]*$C$11</f>
        <v>378.6385502800951</v>
      </c>
      <c r="Q46" s="3" t="str">
        <f>Data_1Ch[[#This Row],[T / V]]</f>
        <v>Validation</v>
      </c>
      <c r="R46" s="3">
        <f ca="1">ABS((Estimates_1Ch[[#This Row],[A_q predicted (b=0)]]-Estimates_1Ch[[#This Row],[A_q measured]])/Estimates_1Ch[[#This Row],[A_q measured]])*100</f>
        <v>2.2602909796168849</v>
      </c>
      <c r="V46"/>
      <c r="W46"/>
      <c r="X46"/>
      <c r="Y46"/>
      <c r="Z46"/>
      <c r="AA46"/>
    </row>
    <row r="47" spans="1:27" s="2" customFormat="1" x14ac:dyDescent="0.3">
      <c r="A47" s="3" t="s">
        <v>11</v>
      </c>
      <c r="B47" s="3">
        <v>170</v>
      </c>
      <c r="C47" s="3" t="s">
        <v>10</v>
      </c>
      <c r="D47" s="3">
        <v>1</v>
      </c>
      <c r="E47" s="3">
        <v>1</v>
      </c>
      <c r="F47" s="3">
        <v>11.064381075029758</v>
      </c>
      <c r="G47" s="3">
        <v>222.77243533078848</v>
      </c>
      <c r="H47" s="3">
        <v>20.134197640168441</v>
      </c>
      <c r="I47" s="3" t="str">
        <f>IF(ROWS($I$22:I47)&lt;=n_T,"Training","Validation")</f>
        <v>Validation</v>
      </c>
      <c r="J47" s="3">
        <f t="shared" ca="1" si="0"/>
        <v>0.50013532169035069</v>
      </c>
      <c r="K47" s="52"/>
      <c r="L47" s="52"/>
      <c r="M47" s="8"/>
      <c r="N47" s="3"/>
      <c r="O47" s="3">
        <f>Data_1Ch[[#This Row],[A_q]]</f>
        <v>222.77243533078848</v>
      </c>
      <c r="P47" s="3">
        <f ca="1">Data_1Ch[[#This Row],[A_T]]*$C$11</f>
        <v>219.50126846881307</v>
      </c>
      <c r="Q47" s="3" t="str">
        <f>Data_1Ch[[#This Row],[T / V]]</f>
        <v>Validation</v>
      </c>
      <c r="R47" s="3">
        <f ca="1">ABS((Estimates_1Ch[[#This Row],[A_q predicted (b=0)]]-Estimates_1Ch[[#This Row],[A_q measured]])/Estimates_1Ch[[#This Row],[A_q measured]])*100</f>
        <v>1.4683894159159114</v>
      </c>
      <c r="V47"/>
      <c r="W47"/>
      <c r="X47"/>
      <c r="Y47"/>
      <c r="Z47"/>
      <c r="AA47"/>
    </row>
    <row r="48" spans="1:27" s="2" customFormat="1" x14ac:dyDescent="0.3">
      <c r="A48" s="3" t="s">
        <v>38</v>
      </c>
      <c r="B48" s="3">
        <v>230</v>
      </c>
      <c r="C48" s="3" t="s">
        <v>10</v>
      </c>
      <c r="D48" s="3">
        <v>1</v>
      </c>
      <c r="E48" s="3">
        <v>2</v>
      </c>
      <c r="F48" s="3">
        <v>22.284430163528512</v>
      </c>
      <c r="G48" s="3">
        <v>438.58518732334858</v>
      </c>
      <c r="H48" s="3">
        <v>19.681238609419442</v>
      </c>
      <c r="I48" s="3" t="str">
        <f>IF(ROWS($I$22:I48)&lt;=n_T,"Training","Validation")</f>
        <v>Validation</v>
      </c>
      <c r="J48" s="3">
        <f t="shared" ca="1" si="0"/>
        <v>0.2297610290576152</v>
      </c>
      <c r="K48" s="52"/>
      <c r="L48" s="52"/>
      <c r="M48" s="8"/>
      <c r="N48" s="3"/>
      <c r="O48" s="3">
        <f>Data_1Ch[[#This Row],[A_q]]</f>
        <v>438.58518732334858</v>
      </c>
      <c r="P48" s="3">
        <f ca="1">Data_1Ch[[#This Row],[A_T]]*$C$11</f>
        <v>442.09076448372713</v>
      </c>
      <c r="Q48" s="3" t="str">
        <f>Data_1Ch[[#This Row],[T / V]]</f>
        <v>Validation</v>
      </c>
      <c r="R48" s="3">
        <f ca="1">ABS((Estimates_1Ch[[#This Row],[A_q predicted (b=0)]]-Estimates_1Ch[[#This Row],[A_q measured]])/Estimates_1Ch[[#This Row],[A_q measured]])*100</f>
        <v>0.7992921926462716</v>
      </c>
      <c r="V48"/>
      <c r="W48"/>
      <c r="X48"/>
      <c r="Y48"/>
      <c r="Z48"/>
      <c r="AA48"/>
    </row>
    <row r="49" spans="1:27" s="2" customFormat="1" x14ac:dyDescent="0.3">
      <c r="A49" s="3" t="s">
        <v>38</v>
      </c>
      <c r="B49" s="3">
        <v>230</v>
      </c>
      <c r="C49" s="3" t="s">
        <v>10</v>
      </c>
      <c r="D49" s="3">
        <v>1</v>
      </c>
      <c r="E49" s="3">
        <v>1</v>
      </c>
      <c r="F49" s="3">
        <v>27.071048094113475</v>
      </c>
      <c r="G49" s="3">
        <v>497.44749309176234</v>
      </c>
      <c r="H49" s="3">
        <v>18.37562739951435</v>
      </c>
      <c r="I49" s="3" t="str">
        <f>IF(ROWS($I$22:I49)&lt;=n_T,"Training","Validation")</f>
        <v>Validation</v>
      </c>
      <c r="J49" s="3">
        <f t="shared" ca="1" si="0"/>
        <v>0.86783288014055582</v>
      </c>
      <c r="K49" s="52"/>
      <c r="L49" s="52"/>
      <c r="M49" s="8"/>
      <c r="N49" s="3"/>
      <c r="O49" s="3">
        <f>Data_1Ch[[#This Row],[A_q]]</f>
        <v>497.44749309176234</v>
      </c>
      <c r="P49" s="3">
        <f ca="1">Data_1Ch[[#This Row],[A_T]]*$C$11</f>
        <v>537.05031986365952</v>
      </c>
      <c r="Q49" s="3" t="str">
        <f>Data_1Ch[[#This Row],[T / V]]</f>
        <v>Validation</v>
      </c>
      <c r="R49" s="3">
        <f ca="1">ABS((Estimates_1Ch[[#This Row],[A_q predicted (b=0)]]-Estimates_1Ch[[#This Row],[A_q measured]])/Estimates_1Ch[[#This Row],[A_q measured]])*100</f>
        <v>7.961207428296718</v>
      </c>
      <c r="V49"/>
      <c r="W49"/>
      <c r="X49"/>
      <c r="Y49"/>
      <c r="Z49"/>
      <c r="AA49"/>
    </row>
    <row r="50" spans="1:27" s="2" customFormat="1" x14ac:dyDescent="0.3">
      <c r="A50" s="3" t="s">
        <v>12</v>
      </c>
      <c r="B50" s="3">
        <v>170</v>
      </c>
      <c r="C50" s="3" t="s">
        <v>10</v>
      </c>
      <c r="D50" s="3">
        <v>1</v>
      </c>
      <c r="E50" s="3">
        <v>2</v>
      </c>
      <c r="F50" s="3">
        <v>11.275199999993378</v>
      </c>
      <c r="G50" s="3">
        <v>242.68199999999433</v>
      </c>
      <c r="H50" s="3">
        <v>21.523520647096007</v>
      </c>
      <c r="I50" s="3" t="str">
        <f>IF(ROWS($I$22:I50)&lt;=n_T,"Training","Validation")</f>
        <v>Validation</v>
      </c>
      <c r="J50" s="3">
        <f t="shared" ca="1" si="0"/>
        <v>0.84144791426354493</v>
      </c>
      <c r="K50" s="52"/>
      <c r="L50" s="52"/>
      <c r="M50" s="8"/>
      <c r="N50" s="3"/>
      <c r="O50" s="3">
        <f>Data_1Ch[[#This Row],[A_q]]</f>
        <v>242.68199999999433</v>
      </c>
      <c r="P50" s="3">
        <f ca="1">Data_1Ch[[#This Row],[A_T]]*$C$11</f>
        <v>223.68361008674415</v>
      </c>
      <c r="Q50" s="3" t="str">
        <f>Data_1Ch[[#This Row],[T / V]]</f>
        <v>Validation</v>
      </c>
      <c r="R50" s="3">
        <f ca="1">ABS((Estimates_1Ch[[#This Row],[A_q predicted (b=0)]]-Estimates_1Ch[[#This Row],[A_q measured]])/Estimates_1Ch[[#This Row],[A_q measured]])*100</f>
        <v>7.828512173647252</v>
      </c>
      <c r="V50"/>
      <c r="W50"/>
      <c r="X50"/>
      <c r="Y50"/>
      <c r="Z50"/>
      <c r="AA50"/>
    </row>
    <row r="51" spans="1:27" s="2" customFormat="1" x14ac:dyDescent="0.3">
      <c r="A51" s="3" t="s">
        <v>8</v>
      </c>
      <c r="B51" s="3">
        <v>170</v>
      </c>
      <c r="C51" s="3" t="s">
        <v>10</v>
      </c>
      <c r="D51" s="3">
        <v>1</v>
      </c>
      <c r="E51" s="3">
        <v>1</v>
      </c>
      <c r="F51" s="3">
        <v>7.7868000000008877</v>
      </c>
      <c r="G51" s="3">
        <v>134.81040000000056</v>
      </c>
      <c r="H51" s="3">
        <v>17.312683002001489</v>
      </c>
      <c r="I51" s="3" t="str">
        <f>IF(ROWS($I$22:I51)&lt;=n_T,"Training","Validation")</f>
        <v>Validation</v>
      </c>
      <c r="J51" s="3">
        <f t="shared" ca="1" si="0"/>
        <v>0.62818733664417137</v>
      </c>
      <c r="K51" s="52"/>
      <c r="L51" s="52"/>
      <c r="M51" s="8"/>
      <c r="N51" s="3"/>
      <c r="O51" s="3">
        <f>Data_1Ch[[#This Row],[A_q]]</f>
        <v>134.81040000000056</v>
      </c>
      <c r="P51" s="3">
        <f ca="1">Data_1Ch[[#This Row],[A_T]]*$C$11</f>
        <v>154.47881501212228</v>
      </c>
      <c r="Q51" s="3" t="str">
        <f>Data_1Ch[[#This Row],[T / V]]</f>
        <v>Validation</v>
      </c>
      <c r="R51" s="3">
        <f ca="1">ABS((Estimates_1Ch[[#This Row],[A_q predicted (b=0)]]-Estimates_1Ch[[#This Row],[A_q measured]])/Estimates_1Ch[[#This Row],[A_q measured]])*100</f>
        <v>14.589686709720946</v>
      </c>
      <c r="V51"/>
      <c r="W51"/>
      <c r="X51"/>
      <c r="Y51"/>
      <c r="Z51"/>
      <c r="AA51"/>
    </row>
    <row r="52" spans="1:27" s="2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52"/>
      <c r="L52" s="52"/>
      <c r="M52" s="8"/>
      <c r="N52" s="3"/>
      <c r="O52" s="3"/>
      <c r="P52" s="3"/>
      <c r="Q52" s="3"/>
      <c r="R52" s="3"/>
      <c r="V52"/>
      <c r="W52"/>
      <c r="X52"/>
      <c r="Y52"/>
      <c r="Z52"/>
      <c r="AA52"/>
    </row>
    <row r="53" spans="1:27" s="2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52"/>
      <c r="L53" s="52"/>
      <c r="M53" s="8"/>
      <c r="N53" s="3"/>
      <c r="O53" s="3"/>
      <c r="P53" s="3"/>
      <c r="Q53" s="3"/>
      <c r="R53" s="3"/>
      <c r="V53"/>
      <c r="W53"/>
      <c r="X53"/>
      <c r="Y53"/>
      <c r="Z53"/>
      <c r="AA53"/>
    </row>
    <row r="54" spans="1:27" s="2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52"/>
      <c r="L54" s="52"/>
      <c r="M54" s="8"/>
      <c r="N54" s="3"/>
      <c r="O54" s="3"/>
      <c r="P54" s="3"/>
      <c r="Q54" s="3"/>
      <c r="R54" s="3"/>
      <c r="V54"/>
      <c r="W54"/>
      <c r="X54"/>
      <c r="Y54"/>
      <c r="Z54"/>
      <c r="AA54"/>
    </row>
    <row r="55" spans="1:27" s="2" customFormat="1" x14ac:dyDescent="0.3">
      <c r="A55" s="55" t="str" cm="1">
        <f t="array" aca="1" ref="A55:J75" ca="1">_xlfn._xlws.FILTER(Data_1Ch[],Data_1Ch[T / V]="Training")</f>
        <v>RT18</v>
      </c>
      <c r="B55" s="65">
        <f ca="1"/>
        <v>230</v>
      </c>
      <c r="C55" s="65" t="str">
        <f ca="1"/>
        <v>Solidification</v>
      </c>
      <c r="D55" s="65">
        <f ca="1"/>
        <v>1</v>
      </c>
      <c r="E55" s="65">
        <f ca="1"/>
        <v>3</v>
      </c>
      <c r="F55" s="65">
        <f ca="1"/>
        <v>25.152330906320181</v>
      </c>
      <c r="G55" s="65">
        <f ca="1"/>
        <v>531.35713106848095</v>
      </c>
      <c r="H55" s="65">
        <f ca="1"/>
        <v>21.125562201273503</v>
      </c>
      <c r="I55" s="65" t="str">
        <f ca="1"/>
        <v>Training</v>
      </c>
      <c r="J55" s="66">
        <f ca="1"/>
        <v>0.15928219139319744</v>
      </c>
      <c r="K55" s="21">
        <f t="shared" ref="K55:K75" ca="1" si="1">G55-$C$11*F55</f>
        <v>32.371376560765611</v>
      </c>
      <c r="L55" s="21">
        <f t="shared" ref="L55:L75" ca="1" si="2">G55-AVERAGE($G$55:$G$76)</f>
        <v>220.06731290334329</v>
      </c>
      <c r="M55" s="54"/>
      <c r="N55" s="53"/>
      <c r="O55" s="55" cm="1">
        <f t="array" aca="1" ref="O55:R75" ca="1">_xlfn._xlws.FILTER(Estimates_1Ch[],Estimates_1Ch[T / V]="Training")</f>
        <v>531.35713106848095</v>
      </c>
      <c r="P55" s="65">
        <f ca="1"/>
        <v>498.98575450771534</v>
      </c>
      <c r="Q55" s="65" t="str">
        <f ca="1"/>
        <v>Training</v>
      </c>
      <c r="R55" s="66">
        <f ca="1"/>
        <v>6.092207042685498</v>
      </c>
      <c r="V55"/>
      <c r="W55"/>
      <c r="X55"/>
      <c r="Y55"/>
      <c r="Z55"/>
      <c r="AA55"/>
    </row>
    <row r="56" spans="1:27" s="2" customFormat="1" x14ac:dyDescent="0.3">
      <c r="A56" s="67" t="str">
        <f ca="1"/>
        <v>RT8</v>
      </c>
      <c r="B56" s="53">
        <f ca="1"/>
        <v>170</v>
      </c>
      <c r="C56" s="53" t="str">
        <f ca="1"/>
        <v>Melting</v>
      </c>
      <c r="D56" s="53">
        <f ca="1"/>
        <v>1</v>
      </c>
      <c r="E56" s="53">
        <f ca="1"/>
        <v>2</v>
      </c>
      <c r="F56" s="53">
        <f ca="1"/>
        <v>9.3620263278695397</v>
      </c>
      <c r="G56" s="53">
        <f ca="1"/>
        <v>159.24805774971134</v>
      </c>
      <c r="H56" s="53">
        <f ca="1"/>
        <v>17.009998922525028</v>
      </c>
      <c r="I56" s="53" t="str">
        <f ca="1"/>
        <v>Training</v>
      </c>
      <c r="J56" s="68">
        <f ca="1"/>
        <v>0.99064432820714388</v>
      </c>
      <c r="K56" s="21">
        <f t="shared" ca="1" si="1"/>
        <v>-26.480962289510444</v>
      </c>
      <c r="L56" s="21">
        <f t="shared" ca="1" si="2"/>
        <v>-152.04176041542632</v>
      </c>
      <c r="M56" s="54"/>
      <c r="N56" s="53"/>
      <c r="O56" s="67">
        <f ca="1"/>
        <v>159.24805774971134</v>
      </c>
      <c r="P56" s="53">
        <f ca="1"/>
        <v>185.72902003922178</v>
      </c>
      <c r="Q56" s="53" t="str">
        <f ca="1"/>
        <v>Training</v>
      </c>
      <c r="R56" s="68">
        <f ca="1"/>
        <v>16.628750556650633</v>
      </c>
      <c r="V56"/>
      <c r="W56"/>
      <c r="X56"/>
      <c r="Y56"/>
      <c r="Z56"/>
      <c r="AA56"/>
    </row>
    <row r="57" spans="1:27" s="2" customFormat="1" x14ac:dyDescent="0.3">
      <c r="A57" s="67" t="str">
        <f ca="1"/>
        <v>RT8</v>
      </c>
      <c r="B57" s="53">
        <f ca="1"/>
        <v>170</v>
      </c>
      <c r="C57" s="53" t="str">
        <f ca="1"/>
        <v>Solidification</v>
      </c>
      <c r="D57" s="53">
        <f ca="1"/>
        <v>1</v>
      </c>
      <c r="E57" s="53">
        <f ca="1"/>
        <v>2</v>
      </c>
      <c r="F57" s="53">
        <f ca="1"/>
        <v>9.2355319538814236</v>
      </c>
      <c r="G57" s="53">
        <f ca="1"/>
        <v>177.19746032724149</v>
      </c>
      <c r="H57" s="53">
        <f ca="1"/>
        <v>19.186492040966908</v>
      </c>
      <c r="I57" s="53" t="str">
        <f ca="1"/>
        <v>Training</v>
      </c>
      <c r="J57" s="68">
        <f ca="1"/>
        <v>0.14996579783739261</v>
      </c>
      <c r="K57" s="21">
        <f t="shared" ca="1" si="1"/>
        <v>-6.0220948484442829</v>
      </c>
      <c r="L57" s="21">
        <f t="shared" ca="1" si="2"/>
        <v>-134.09235783789617</v>
      </c>
      <c r="M57" s="54"/>
      <c r="N57" s="53"/>
      <c r="O57" s="67">
        <f ca="1"/>
        <v>177.19746032724149</v>
      </c>
      <c r="P57" s="53">
        <f ca="1"/>
        <v>183.21955517568577</v>
      </c>
      <c r="Q57" s="53" t="str">
        <f ca="1"/>
        <v>Training</v>
      </c>
      <c r="R57" s="68">
        <f ca="1"/>
        <v>3.3985220992010317</v>
      </c>
      <c r="V57"/>
      <c r="W57"/>
      <c r="X57"/>
      <c r="Y57"/>
      <c r="Z57"/>
      <c r="AA57"/>
    </row>
    <row r="58" spans="1:27" s="2" customFormat="1" x14ac:dyDescent="0.3">
      <c r="A58" s="67" t="str">
        <f ca="1"/>
        <v>RT18</v>
      </c>
      <c r="B58" s="53">
        <f ca="1"/>
        <v>230</v>
      </c>
      <c r="C58" s="53" t="str">
        <f ca="1"/>
        <v>Melting</v>
      </c>
      <c r="D58" s="53">
        <f ca="1"/>
        <v>1</v>
      </c>
      <c r="E58" s="53">
        <f ca="1"/>
        <v>3</v>
      </c>
      <c r="F58" s="53">
        <f ca="1"/>
        <v>26.999051764701608</v>
      </c>
      <c r="G58" s="53">
        <f ca="1"/>
        <v>498.93304243764453</v>
      </c>
      <c r="H58" s="53">
        <f ca="1"/>
        <v>18.479650573874839</v>
      </c>
      <c r="I58" s="53" t="str">
        <f ca="1"/>
        <v>Training</v>
      </c>
      <c r="J58" s="68">
        <f ca="1"/>
        <v>0.86508494113946333</v>
      </c>
      <c r="K58" s="21">
        <f t="shared" ca="1" si="1"/>
        <v>-36.688974701819348</v>
      </c>
      <c r="L58" s="21">
        <f t="shared" ca="1" si="2"/>
        <v>187.64322427250687</v>
      </c>
      <c r="M58" s="54"/>
      <c r="N58" s="53"/>
      <c r="O58" s="67">
        <f ca="1"/>
        <v>498.93304243764453</v>
      </c>
      <c r="P58" s="53">
        <f ca="1"/>
        <v>535.62201713946388</v>
      </c>
      <c r="Q58" s="53" t="str">
        <f ca="1"/>
        <v>Training</v>
      </c>
      <c r="R58" s="68">
        <f ca="1"/>
        <v>7.3534866567600901</v>
      </c>
      <c r="V58"/>
      <c r="W58"/>
      <c r="X58"/>
      <c r="Y58"/>
      <c r="Z58"/>
      <c r="AA58"/>
    </row>
    <row r="59" spans="1:27" s="2" customFormat="1" x14ac:dyDescent="0.3">
      <c r="A59" s="67" t="str">
        <f ca="1"/>
        <v>RT24</v>
      </c>
      <c r="B59" s="53">
        <f ca="1"/>
        <v>170</v>
      </c>
      <c r="C59" s="53" t="str">
        <f ca="1"/>
        <v>Solidification</v>
      </c>
      <c r="D59" s="53">
        <f ca="1"/>
        <v>1</v>
      </c>
      <c r="E59" s="53">
        <f ca="1"/>
        <v>2</v>
      </c>
      <c r="F59" s="53">
        <f ca="1"/>
        <v>17.790648849835058</v>
      </c>
      <c r="G59" s="53">
        <f ca="1"/>
        <v>369.31674307917132</v>
      </c>
      <c r="H59" s="53">
        <f ca="1"/>
        <v>20.759037300800603</v>
      </c>
      <c r="I59" s="53" t="str">
        <f ca="1"/>
        <v>Training</v>
      </c>
      <c r="J59" s="68">
        <f ca="1"/>
        <v>8.3415980725226713E-2</v>
      </c>
      <c r="K59" s="21">
        <f t="shared" ca="1" si="1"/>
        <v>16.3760803397941</v>
      </c>
      <c r="L59" s="21">
        <f t="shared" ca="1" si="2"/>
        <v>58.026924914033657</v>
      </c>
      <c r="M59" s="54"/>
      <c r="N59" s="53"/>
      <c r="O59" s="67">
        <f ca="1"/>
        <v>369.31674307917132</v>
      </c>
      <c r="P59" s="53">
        <f ca="1"/>
        <v>352.94066273937722</v>
      </c>
      <c r="Q59" s="53" t="str">
        <f ca="1"/>
        <v>Training</v>
      </c>
      <c r="R59" s="68">
        <f ca="1"/>
        <v>4.4341559505964554</v>
      </c>
      <c r="V59"/>
      <c r="W59"/>
      <c r="X59"/>
      <c r="Y59"/>
      <c r="Z59"/>
      <c r="AA59"/>
    </row>
    <row r="60" spans="1:27" s="2" customFormat="1" x14ac:dyDescent="0.3">
      <c r="A60" s="67" t="str">
        <f ca="1"/>
        <v>RT18</v>
      </c>
      <c r="B60" s="53">
        <f ca="1"/>
        <v>230</v>
      </c>
      <c r="C60" s="53" t="str">
        <f ca="1"/>
        <v>Solidification</v>
      </c>
      <c r="D60" s="53">
        <f ca="1"/>
        <v>1</v>
      </c>
      <c r="E60" s="53">
        <f ca="1"/>
        <v>2</v>
      </c>
      <c r="F60" s="53">
        <f ca="1"/>
        <v>27.339335607030389</v>
      </c>
      <c r="G60" s="53">
        <f ca="1"/>
        <v>517.33538910520599</v>
      </c>
      <c r="H60" s="53">
        <f ca="1"/>
        <v>18.922749131188528</v>
      </c>
      <c r="I60" s="53" t="str">
        <f ca="1"/>
        <v>Training</v>
      </c>
      <c r="J60" s="68">
        <f ca="1"/>
        <v>0.36796277145361689</v>
      </c>
      <c r="K60" s="21">
        <f t="shared" ca="1" si="1"/>
        <v>-25.037365786699979</v>
      </c>
      <c r="L60" s="21">
        <f t="shared" ca="1" si="2"/>
        <v>206.04557094006833</v>
      </c>
      <c r="M60" s="54"/>
      <c r="N60" s="53"/>
      <c r="O60" s="67">
        <f ca="1"/>
        <v>517.33538910520599</v>
      </c>
      <c r="P60" s="53">
        <f ca="1"/>
        <v>542.37275489190597</v>
      </c>
      <c r="Q60" s="53" t="str">
        <f ca="1"/>
        <v>Training</v>
      </c>
      <c r="R60" s="68">
        <f ca="1"/>
        <v>4.8396777630088534</v>
      </c>
      <c r="V60"/>
      <c r="W60"/>
      <c r="X60"/>
      <c r="Y60"/>
      <c r="Z60"/>
      <c r="AA60"/>
    </row>
    <row r="61" spans="1:27" s="2" customFormat="1" x14ac:dyDescent="0.3">
      <c r="A61" s="67" t="str">
        <f ca="1"/>
        <v>RT11</v>
      </c>
      <c r="B61" s="53">
        <f ca="1"/>
        <v>170</v>
      </c>
      <c r="C61" s="53" t="str">
        <f ca="1"/>
        <v>Solidification</v>
      </c>
      <c r="D61" s="53">
        <f ca="1"/>
        <v>1</v>
      </c>
      <c r="E61" s="53">
        <f ca="1"/>
        <v>1</v>
      </c>
      <c r="F61" s="53">
        <f ca="1"/>
        <v>11.990650156666428</v>
      </c>
      <c r="G61" s="53">
        <f ca="1"/>
        <v>261.17692526275397</v>
      </c>
      <c r="H61" s="53">
        <f ca="1"/>
        <v>21.781715073852585</v>
      </c>
      <c r="I61" s="53" t="str">
        <f ca="1"/>
        <v>Training</v>
      </c>
      <c r="J61" s="68">
        <f ca="1"/>
        <v>0.71092634193898285</v>
      </c>
      <c r="K61" s="21">
        <f t="shared" ca="1" si="1"/>
        <v>23.299822033373886</v>
      </c>
      <c r="L61" s="21">
        <f t="shared" ca="1" si="2"/>
        <v>-50.112892902383692</v>
      </c>
      <c r="M61" s="54"/>
      <c r="N61" s="53"/>
      <c r="O61" s="67">
        <f ca="1"/>
        <v>261.17692526275397</v>
      </c>
      <c r="P61" s="53">
        <f ca="1"/>
        <v>237.87710322938008</v>
      </c>
      <c r="Q61" s="53" t="str">
        <f ca="1"/>
        <v>Training</v>
      </c>
      <c r="R61" s="68">
        <f ca="1"/>
        <v>8.9210875003346395</v>
      </c>
      <c r="V61"/>
      <c r="W61"/>
      <c r="X61"/>
      <c r="Y61"/>
      <c r="Z61"/>
      <c r="AA61"/>
    </row>
    <row r="62" spans="1:27" s="2" customFormat="1" x14ac:dyDescent="0.3">
      <c r="A62" s="67" t="str">
        <f ca="1"/>
        <v>RT8</v>
      </c>
      <c r="B62" s="53">
        <f ca="1"/>
        <v>170</v>
      </c>
      <c r="C62" s="53" t="str">
        <f ca="1"/>
        <v>Solidification</v>
      </c>
      <c r="D62" s="53">
        <f ca="1"/>
        <v>1</v>
      </c>
      <c r="E62" s="53">
        <f ca="1"/>
        <v>1</v>
      </c>
      <c r="F62" s="53">
        <f ca="1"/>
        <v>6.9743999999999957</v>
      </c>
      <c r="G62" s="53">
        <f ca="1"/>
        <v>169.83240000000001</v>
      </c>
      <c r="H62" s="53">
        <f ca="1"/>
        <v>24.350825877494856</v>
      </c>
      <c r="I62" s="53" t="str">
        <f ca="1"/>
        <v>Training</v>
      </c>
      <c r="J62" s="68">
        <f ca="1"/>
        <v>0.78127928563978122</v>
      </c>
      <c r="K62" s="21">
        <f t="shared" ca="1" si="1"/>
        <v>31.470422368569615</v>
      </c>
      <c r="L62" s="21">
        <f t="shared" ca="1" si="2"/>
        <v>-141.45741816513765</v>
      </c>
      <c r="M62" s="54"/>
      <c r="N62" s="53"/>
      <c r="O62" s="67">
        <f ca="1"/>
        <v>169.83240000000001</v>
      </c>
      <c r="P62" s="53">
        <f ca="1"/>
        <v>138.36197763143039</v>
      </c>
      <c r="Q62" s="53" t="str">
        <f ca="1"/>
        <v>Training</v>
      </c>
      <c r="R62" s="68">
        <f ca="1"/>
        <v>18.530281835839105</v>
      </c>
      <c r="V62"/>
      <c r="W62"/>
      <c r="X62"/>
      <c r="Y62"/>
      <c r="Z62"/>
      <c r="AA62"/>
    </row>
    <row r="63" spans="1:27" s="2" customFormat="1" x14ac:dyDescent="0.3">
      <c r="A63" s="67" t="str">
        <f ca="1"/>
        <v>RT24</v>
      </c>
      <c r="B63" s="53">
        <f ca="1"/>
        <v>170</v>
      </c>
      <c r="C63" s="53" t="str">
        <f ca="1"/>
        <v>Melting</v>
      </c>
      <c r="D63" s="53">
        <f ca="1"/>
        <v>1</v>
      </c>
      <c r="E63" s="53">
        <f ca="1"/>
        <v>3</v>
      </c>
      <c r="F63" s="53">
        <f ca="1"/>
        <v>7.7994267951314544</v>
      </c>
      <c r="G63" s="53">
        <f ca="1"/>
        <v>182.63889794765294</v>
      </c>
      <c r="H63" s="53">
        <f ca="1"/>
        <v>23.416964187888716</v>
      </c>
      <c r="I63" s="53" t="str">
        <f ca="1"/>
        <v>Training</v>
      </c>
      <c r="J63" s="68">
        <f ca="1"/>
        <v>0.86904662839094349</v>
      </c>
      <c r="K63" s="21">
        <f t="shared" ca="1" si="1"/>
        <v>27.90958563892994</v>
      </c>
      <c r="L63" s="21">
        <f t="shared" ca="1" si="2"/>
        <v>-128.65092021748472</v>
      </c>
      <c r="M63" s="54"/>
      <c r="N63" s="53"/>
      <c r="O63" s="67">
        <f ca="1"/>
        <v>182.63889794765294</v>
      </c>
      <c r="P63" s="53">
        <f ca="1"/>
        <v>154.729312308723</v>
      </c>
      <c r="Q63" s="53" t="str">
        <f ca="1"/>
        <v>Training</v>
      </c>
      <c r="R63" s="68">
        <f ca="1"/>
        <v>15.281293280103588</v>
      </c>
      <c r="V63"/>
      <c r="W63"/>
      <c r="X63"/>
      <c r="Y63"/>
      <c r="Z63"/>
      <c r="AA63"/>
    </row>
    <row r="64" spans="1:27" s="2" customFormat="1" x14ac:dyDescent="0.3">
      <c r="A64" s="67" t="str">
        <f ca="1"/>
        <v>RT8 (15mm)</v>
      </c>
      <c r="B64" s="53">
        <f ca="1"/>
        <v>170</v>
      </c>
      <c r="C64" s="53" t="str">
        <f ca="1"/>
        <v>Melting</v>
      </c>
      <c r="D64" s="53">
        <f ca="1"/>
        <v>1</v>
      </c>
      <c r="E64" s="53">
        <f ca="1"/>
        <v>1</v>
      </c>
      <c r="F64" s="53">
        <f ca="1"/>
        <v>14.619000000000636</v>
      </c>
      <c r="G64" s="53">
        <f ca="1"/>
        <v>301.61215956541196</v>
      </c>
      <c r="H64" s="53">
        <f ca="1"/>
        <v>20.631517857951902</v>
      </c>
      <c r="I64" s="53" t="str">
        <f ca="1"/>
        <v>Training</v>
      </c>
      <c r="J64" s="68">
        <f ca="1"/>
        <v>0.60576733584886955</v>
      </c>
      <c r="K64" s="21">
        <f t="shared" ca="1" si="1"/>
        <v>11.592408619958576</v>
      </c>
      <c r="L64" s="21">
        <f t="shared" ca="1" si="2"/>
        <v>-9.677658599725703</v>
      </c>
      <c r="M64" s="54"/>
      <c r="N64" s="53"/>
      <c r="O64" s="67">
        <f ca="1"/>
        <v>301.61215956541196</v>
      </c>
      <c r="P64" s="53">
        <f ca="1"/>
        <v>290.01975094545338</v>
      </c>
      <c r="Q64" s="53" t="str">
        <f ca="1"/>
        <v>Training</v>
      </c>
      <c r="R64" s="68">
        <f ca="1"/>
        <v>3.8434818532057493</v>
      </c>
      <c r="V64"/>
      <c r="W64"/>
      <c r="X64"/>
      <c r="Y64"/>
      <c r="Z64"/>
      <c r="AA64"/>
    </row>
    <row r="65" spans="1:27" s="2" customFormat="1" x14ac:dyDescent="0.3">
      <c r="A65" s="67" t="str">
        <f ca="1"/>
        <v>RT11</v>
      </c>
      <c r="B65" s="53">
        <f ca="1"/>
        <v>170</v>
      </c>
      <c r="C65" s="53" t="str">
        <f ca="1"/>
        <v>Solidification</v>
      </c>
      <c r="D65" s="53">
        <f ca="1"/>
        <v>1</v>
      </c>
      <c r="E65" s="53">
        <f ca="1"/>
        <v>3</v>
      </c>
      <c r="F65" s="53">
        <f ca="1"/>
        <v>12.285332570093937</v>
      </c>
      <c r="G65" s="53">
        <f ca="1"/>
        <v>256.57732728687955</v>
      </c>
      <c r="H65" s="53">
        <f ca="1"/>
        <v>20.884849947934107</v>
      </c>
      <c r="I65" s="53" t="str">
        <f ca="1"/>
        <v>Training</v>
      </c>
      <c r="J65" s="68">
        <f ca="1"/>
        <v>0.58086208693036834</v>
      </c>
      <c r="K65" s="21">
        <f t="shared" ca="1" si="1"/>
        <v>12.854152496500234</v>
      </c>
      <c r="L65" s="21">
        <f t="shared" ca="1" si="2"/>
        <v>-54.712490878258109</v>
      </c>
      <c r="M65" s="54"/>
      <c r="N65" s="53"/>
      <c r="O65" s="67">
        <f ca="1"/>
        <v>256.57732728687955</v>
      </c>
      <c r="P65" s="53">
        <f ca="1"/>
        <v>243.72317479037932</v>
      </c>
      <c r="Q65" s="53" t="str">
        <f ca="1"/>
        <v>Training</v>
      </c>
      <c r="R65" s="68">
        <f ca="1"/>
        <v>5.00985517014447</v>
      </c>
      <c r="V65"/>
      <c r="W65"/>
      <c r="X65"/>
      <c r="Y65"/>
      <c r="Z65"/>
      <c r="AA65"/>
    </row>
    <row r="66" spans="1:27" s="2" customFormat="1" x14ac:dyDescent="0.3">
      <c r="A66" s="67" t="str">
        <f ca="1"/>
        <v>RT24</v>
      </c>
      <c r="B66" s="53">
        <f ca="1"/>
        <v>170</v>
      </c>
      <c r="C66" s="53" t="str">
        <f ca="1"/>
        <v>Melting</v>
      </c>
      <c r="D66" s="53">
        <f ca="1"/>
        <v>1</v>
      </c>
      <c r="E66" s="53">
        <f ca="1"/>
        <v>1</v>
      </c>
      <c r="F66" s="53">
        <f ca="1"/>
        <v>13.042056671598727</v>
      </c>
      <c r="G66" s="53">
        <f ca="1"/>
        <v>266.10625346834951</v>
      </c>
      <c r="H66" s="53">
        <f ca="1"/>
        <v>20.403703201799502</v>
      </c>
      <c r="I66" s="53" t="str">
        <f ca="1"/>
        <v>Training</v>
      </c>
      <c r="J66" s="68">
        <f ca="1"/>
        <v>0.59174744168292759</v>
      </c>
      <c r="K66" s="21">
        <f t="shared" ca="1" si="1"/>
        <v>7.3707703495734904</v>
      </c>
      <c r="L66" s="21">
        <f t="shared" ca="1" si="2"/>
        <v>-45.183564696788153</v>
      </c>
      <c r="M66" s="54"/>
      <c r="N66" s="53"/>
      <c r="O66" s="67">
        <f ca="1"/>
        <v>266.10625346834951</v>
      </c>
      <c r="P66" s="53">
        <f ca="1"/>
        <v>258.73548311877602</v>
      </c>
      <c r="Q66" s="53" t="str">
        <f ca="1"/>
        <v>Training</v>
      </c>
      <c r="R66" s="68">
        <f ca="1"/>
        <v>2.7698598787157644</v>
      </c>
      <c r="V66"/>
      <c r="W66"/>
      <c r="X66"/>
      <c r="Y66"/>
      <c r="Z66"/>
      <c r="AA66"/>
    </row>
    <row r="67" spans="1:27" s="2" customFormat="1" x14ac:dyDescent="0.3">
      <c r="A67" s="67" t="str">
        <f ca="1"/>
        <v>RT8</v>
      </c>
      <c r="B67" s="53">
        <f ca="1"/>
        <v>170</v>
      </c>
      <c r="C67" s="53" t="str">
        <f ca="1"/>
        <v>Solidification</v>
      </c>
      <c r="D67" s="53">
        <f ca="1"/>
        <v>1</v>
      </c>
      <c r="E67" s="53">
        <f ca="1"/>
        <v>3</v>
      </c>
      <c r="F67" s="53">
        <f ca="1"/>
        <v>11.346010588618963</v>
      </c>
      <c r="G67" s="53">
        <f ca="1"/>
        <v>205.62869365733505</v>
      </c>
      <c r="H67" s="53">
        <f ca="1"/>
        <v>18.123435726703669</v>
      </c>
      <c r="I67" s="53" t="str">
        <f ca="1"/>
        <v>Training</v>
      </c>
      <c r="J67" s="68">
        <f ca="1"/>
        <v>0.69433224368823865</v>
      </c>
      <c r="K67" s="21">
        <f t="shared" ca="1" si="1"/>
        <v>-19.459695776662159</v>
      </c>
      <c r="L67" s="21">
        <f t="shared" ca="1" si="2"/>
        <v>-105.66112450780261</v>
      </c>
      <c r="M67" s="54"/>
      <c r="N67" s="53"/>
      <c r="O67" s="67">
        <f ca="1"/>
        <v>205.62869365733505</v>
      </c>
      <c r="P67" s="53">
        <f ca="1"/>
        <v>225.08838943399721</v>
      </c>
      <c r="Q67" s="53" t="str">
        <f ca="1"/>
        <v>Training</v>
      </c>
      <c r="R67" s="68">
        <f ca="1"/>
        <v>9.4635118428998517</v>
      </c>
      <c r="V67"/>
      <c r="W67"/>
      <c r="X67"/>
      <c r="Y67"/>
      <c r="Z67"/>
      <c r="AA67"/>
    </row>
    <row r="68" spans="1:27" s="2" customFormat="1" x14ac:dyDescent="0.3">
      <c r="A68" s="67" t="str">
        <f ca="1"/>
        <v>RT8 (15mm)</v>
      </c>
      <c r="B68" s="53">
        <f ca="1"/>
        <v>170</v>
      </c>
      <c r="C68" s="53" t="str">
        <f ca="1"/>
        <v>Solidification</v>
      </c>
      <c r="D68" s="53">
        <f ca="1"/>
        <v>1</v>
      </c>
      <c r="E68" s="53">
        <f ca="1"/>
        <v>3</v>
      </c>
      <c r="F68" s="53">
        <f ca="1"/>
        <v>21.178307900317577</v>
      </c>
      <c r="G68" s="53">
        <f ca="1"/>
        <v>403.6620200942827</v>
      </c>
      <c r="H68" s="53">
        <f ca="1"/>
        <v>19.060163918394522</v>
      </c>
      <c r="I68" s="53" t="str">
        <f ca="1"/>
        <v>Training</v>
      </c>
      <c r="J68" s="68">
        <f ca="1"/>
        <v>0.7099110441194536</v>
      </c>
      <c r="K68" s="21">
        <f t="shared" ca="1" si="1"/>
        <v>-16.484883435094389</v>
      </c>
      <c r="L68" s="21">
        <f t="shared" ca="1" si="2"/>
        <v>92.372201929145035</v>
      </c>
      <c r="M68" s="54"/>
      <c r="N68" s="53"/>
      <c r="O68" s="67">
        <f ca="1"/>
        <v>403.6620200942827</v>
      </c>
      <c r="P68" s="53">
        <f ca="1"/>
        <v>420.14690352937708</v>
      </c>
      <c r="Q68" s="53" t="str">
        <f ca="1"/>
        <v>Training</v>
      </c>
      <c r="R68" s="68">
        <f ca="1"/>
        <v>4.0838331610301211</v>
      </c>
      <c r="V68"/>
      <c r="W68"/>
      <c r="X68"/>
      <c r="Y68"/>
      <c r="Z68"/>
      <c r="AA68"/>
    </row>
    <row r="69" spans="1:27" s="2" customFormat="1" x14ac:dyDescent="0.3">
      <c r="A69" s="67" t="str">
        <f ca="1"/>
        <v>RT8 (15mm)</v>
      </c>
      <c r="B69" s="53">
        <f ca="1"/>
        <v>170</v>
      </c>
      <c r="C69" s="53" t="str">
        <f ca="1"/>
        <v>Solidification</v>
      </c>
      <c r="D69" s="53">
        <f ca="1"/>
        <v>1</v>
      </c>
      <c r="E69" s="53">
        <f ca="1"/>
        <v>1</v>
      </c>
      <c r="F69" s="53">
        <f ca="1"/>
        <v>20.136299999999675</v>
      </c>
      <c r="G69" s="53">
        <f ca="1"/>
        <v>422.07809643010341</v>
      </c>
      <c r="H69" s="53">
        <f ca="1"/>
        <v>20.961055230112297</v>
      </c>
      <c r="I69" s="53" t="str">
        <f ca="1"/>
        <v>Training</v>
      </c>
      <c r="J69" s="68">
        <f ca="1"/>
        <v>0.7866163437012843</v>
      </c>
      <c r="K69" s="21">
        <f t="shared" ca="1" si="1"/>
        <v>22.603117911560105</v>
      </c>
      <c r="L69" s="21">
        <f t="shared" ca="1" si="2"/>
        <v>110.78827826496575</v>
      </c>
      <c r="M69" s="54"/>
      <c r="N69" s="53"/>
      <c r="O69" s="67">
        <f ca="1"/>
        <v>422.07809643010341</v>
      </c>
      <c r="P69" s="53">
        <f ca="1"/>
        <v>399.47497851854331</v>
      </c>
      <c r="Q69" s="53" t="str">
        <f ca="1"/>
        <v>Training</v>
      </c>
      <c r="R69" s="68">
        <f ca="1"/>
        <v>5.3551980315337699</v>
      </c>
      <c r="V69"/>
      <c r="W69"/>
      <c r="X69"/>
      <c r="Y69"/>
      <c r="Z69"/>
      <c r="AA69"/>
    </row>
    <row r="70" spans="1:27" s="2" customFormat="1" x14ac:dyDescent="0.3">
      <c r="A70" s="67" t="str">
        <f ca="1"/>
        <v>RT8 (15mm)</v>
      </c>
      <c r="B70" s="53">
        <f ca="1"/>
        <v>170</v>
      </c>
      <c r="C70" s="53" t="str">
        <f ca="1"/>
        <v>Melting</v>
      </c>
      <c r="D70" s="53">
        <f ca="1"/>
        <v>1</v>
      </c>
      <c r="E70" s="53">
        <f ca="1"/>
        <v>3</v>
      </c>
      <c r="F70" s="53">
        <f ca="1"/>
        <v>17.970455508345797</v>
      </c>
      <c r="G70" s="53">
        <f ca="1"/>
        <v>340.37905812139587</v>
      </c>
      <c r="H70" s="53">
        <f ca="1"/>
        <v>18.941036745747365</v>
      </c>
      <c r="I70" s="53" t="str">
        <f ca="1"/>
        <v>Training</v>
      </c>
      <c r="J70" s="68">
        <f ca="1"/>
        <v>0.54120806787603926</v>
      </c>
      <c r="K70" s="21">
        <f t="shared" ca="1" si="1"/>
        <v>-16.128707861679004</v>
      </c>
      <c r="L70" s="21">
        <f t="shared" ca="1" si="2"/>
        <v>29.089239956258211</v>
      </c>
      <c r="M70" s="54"/>
      <c r="N70" s="53"/>
      <c r="O70" s="67">
        <f ca="1"/>
        <v>340.37905812139587</v>
      </c>
      <c r="P70" s="53">
        <f ca="1"/>
        <v>356.50776598307488</v>
      </c>
      <c r="Q70" s="53" t="str">
        <f ca="1"/>
        <v>Training</v>
      </c>
      <c r="R70" s="68">
        <f ca="1"/>
        <v>4.7384548129064727</v>
      </c>
      <c r="V70"/>
      <c r="W70"/>
      <c r="X70"/>
      <c r="Y70"/>
      <c r="Z70"/>
      <c r="AA70"/>
    </row>
    <row r="71" spans="1:27" s="2" customFormat="1" x14ac:dyDescent="0.3">
      <c r="A71" s="67" t="str">
        <f ca="1"/>
        <v>RT18</v>
      </c>
      <c r="B71" s="53">
        <f ca="1"/>
        <v>230</v>
      </c>
      <c r="C71" s="53" t="str">
        <f ca="1"/>
        <v>Solidification</v>
      </c>
      <c r="D71" s="53">
        <f ca="1"/>
        <v>1</v>
      </c>
      <c r="E71" s="53">
        <f ca="1"/>
        <v>1</v>
      </c>
      <c r="F71" s="53">
        <f ca="1"/>
        <v>26.190323511765527</v>
      </c>
      <c r="G71" s="53">
        <f ca="1"/>
        <v>521.36237802390292</v>
      </c>
      <c r="H71" s="53">
        <f ca="1"/>
        <v>19.906679571548263</v>
      </c>
      <c r="I71" s="53" t="str">
        <f ca="1"/>
        <v>Training</v>
      </c>
      <c r="J71" s="68">
        <f ca="1"/>
        <v>0.16770096905841858</v>
      </c>
      <c r="K71" s="21">
        <f t="shared" ca="1" si="1"/>
        <v>1.784356130287847</v>
      </c>
      <c r="L71" s="21">
        <f t="shared" ca="1" si="2"/>
        <v>210.07255985876526</v>
      </c>
      <c r="M71" s="54"/>
      <c r="N71" s="53"/>
      <c r="O71" s="67">
        <f ca="1"/>
        <v>521.36237802390292</v>
      </c>
      <c r="P71" s="53">
        <f ca="1"/>
        <v>519.57802189361507</v>
      </c>
      <c r="Q71" s="53" t="str">
        <f ca="1"/>
        <v>Training</v>
      </c>
      <c r="R71" s="68">
        <f ca="1"/>
        <v>0.34224873245572768</v>
      </c>
      <c r="V71"/>
      <c r="W71"/>
      <c r="X71"/>
      <c r="Y71"/>
      <c r="Z71"/>
      <c r="AA71"/>
    </row>
    <row r="72" spans="1:27" s="2" customFormat="1" x14ac:dyDescent="0.3">
      <c r="A72" s="67" t="str">
        <f ca="1"/>
        <v>RT11</v>
      </c>
      <c r="B72" s="53">
        <f ca="1"/>
        <v>170</v>
      </c>
      <c r="C72" s="53" t="str">
        <f ca="1"/>
        <v>Melting</v>
      </c>
      <c r="D72" s="53">
        <f ca="1"/>
        <v>1</v>
      </c>
      <c r="E72" s="53">
        <f ca="1"/>
        <v>2</v>
      </c>
      <c r="F72" s="53">
        <f ca="1"/>
        <v>11.370389065312704</v>
      </c>
      <c r="G72" s="53">
        <f ca="1"/>
        <v>218.07088535308668</v>
      </c>
      <c r="H72" s="53">
        <f ca="1"/>
        <v>19.178841119724638</v>
      </c>
      <c r="I72" s="53" t="str">
        <f ca="1"/>
        <v>Training</v>
      </c>
      <c r="J72" s="68">
        <f ca="1"/>
        <v>0.79553840464568715</v>
      </c>
      <c r="K72" s="21">
        <f t="shared" ca="1" si="1"/>
        <v>-7.5011376905382861</v>
      </c>
      <c r="L72" s="21">
        <f t="shared" ca="1" si="2"/>
        <v>-93.21893281205098</v>
      </c>
      <c r="M72" s="54"/>
      <c r="N72" s="53"/>
      <c r="O72" s="67">
        <f ca="1"/>
        <v>218.07088535308668</v>
      </c>
      <c r="P72" s="53">
        <f ca="1"/>
        <v>225.57202304362497</v>
      </c>
      <c r="Q72" s="53" t="str">
        <f ca="1"/>
        <v>Training</v>
      </c>
      <c r="R72" s="68">
        <f ca="1"/>
        <v>3.4397703656739482</v>
      </c>
      <c r="V72"/>
      <c r="W72"/>
      <c r="X72"/>
      <c r="Y72"/>
      <c r="Z72"/>
      <c r="AA72"/>
    </row>
    <row r="73" spans="1:27" s="2" customFormat="1" x14ac:dyDescent="0.3">
      <c r="A73" s="67" t="str">
        <f ca="1"/>
        <v>RT8</v>
      </c>
      <c r="B73" s="53">
        <f ca="1"/>
        <v>170</v>
      </c>
      <c r="C73" s="53" t="str">
        <f ca="1"/>
        <v>Melting</v>
      </c>
      <c r="D73" s="53">
        <f ca="1"/>
        <v>1</v>
      </c>
      <c r="E73" s="53">
        <f ca="1"/>
        <v>3</v>
      </c>
      <c r="F73" s="53">
        <f ca="1"/>
        <v>7.872829771852226</v>
      </c>
      <c r="G73" s="53">
        <f ca="1"/>
        <v>156.15565369073173</v>
      </c>
      <c r="H73" s="53">
        <f ca="1"/>
        <v>19.834755509262493</v>
      </c>
      <c r="I73" s="53" t="str">
        <f ca="1"/>
        <v>Training</v>
      </c>
      <c r="J73" s="68">
        <f ca="1"/>
        <v>0.38204698795384906</v>
      </c>
      <c r="K73" s="21">
        <f t="shared" ca="1" si="1"/>
        <v>-2.9867184049976458E-2</v>
      </c>
      <c r="L73" s="21">
        <f t="shared" ca="1" si="2"/>
        <v>-155.13416447440594</v>
      </c>
      <c r="M73" s="54"/>
      <c r="N73" s="53"/>
      <c r="O73" s="67">
        <f ca="1"/>
        <v>156.15565369073173</v>
      </c>
      <c r="P73" s="53">
        <f ca="1"/>
        <v>156.1855208747817</v>
      </c>
      <c r="Q73" s="53" t="str">
        <f ca="1"/>
        <v>Training</v>
      </c>
      <c r="R73" s="68">
        <f ca="1"/>
        <v>1.912654671417072E-2</v>
      </c>
      <c r="V73"/>
      <c r="W73"/>
      <c r="X73"/>
      <c r="Y73"/>
      <c r="Z73"/>
      <c r="AA73"/>
    </row>
    <row r="74" spans="1:27" s="2" customFormat="1" x14ac:dyDescent="0.3">
      <c r="A74" s="67" t="str">
        <f ca="1"/>
        <v>RT24</v>
      </c>
      <c r="B74" s="53">
        <f ca="1"/>
        <v>170</v>
      </c>
      <c r="C74" s="53" t="str">
        <f ca="1"/>
        <v>Solidification</v>
      </c>
      <c r="D74" s="53">
        <f ca="1"/>
        <v>1</v>
      </c>
      <c r="E74" s="53">
        <f ca="1"/>
        <v>3</v>
      </c>
      <c r="F74" s="53">
        <f ca="1"/>
        <v>17.283599999999968</v>
      </c>
      <c r="G74" s="53">
        <f ca="1"/>
        <v>360.78210000000007</v>
      </c>
      <c r="H74" s="53">
        <f ca="1"/>
        <v>20.874244948969007</v>
      </c>
      <c r="I74" s="53" t="str">
        <f ca="1"/>
        <v>Training</v>
      </c>
      <c r="J74" s="68">
        <f ca="1"/>
        <v>0.281387387510044</v>
      </c>
      <c r="K74" s="21">
        <f t="shared" ca="1" si="1"/>
        <v>17.900550821491947</v>
      </c>
      <c r="L74" s="21">
        <f t="shared" ca="1" si="2"/>
        <v>49.492281834862411</v>
      </c>
      <c r="M74" s="54"/>
      <c r="N74" s="53"/>
      <c r="O74" s="67">
        <f ca="1"/>
        <v>360.78210000000007</v>
      </c>
      <c r="P74" s="53">
        <f ca="1"/>
        <v>342.88154917850812</v>
      </c>
      <c r="Q74" s="53" t="str">
        <f ca="1"/>
        <v>Training</v>
      </c>
      <c r="R74" s="68">
        <f ca="1"/>
        <v>4.961596160533448</v>
      </c>
      <c r="V74"/>
      <c r="W74"/>
      <c r="X74"/>
      <c r="Y74"/>
      <c r="Z74"/>
      <c r="AA74"/>
    </row>
    <row r="75" spans="1:27" s="2" customFormat="1" x14ac:dyDescent="0.3">
      <c r="A75" s="69" t="str">
        <f ca="1"/>
        <v>RT11</v>
      </c>
      <c r="B75" s="70">
        <f ca="1"/>
        <v>170</v>
      </c>
      <c r="C75" s="70" t="str">
        <f ca="1"/>
        <v>Melting</v>
      </c>
      <c r="D75" s="70">
        <f ca="1"/>
        <v>1</v>
      </c>
      <c r="E75" s="70">
        <f ca="1"/>
        <v>3</v>
      </c>
      <c r="F75" s="70">
        <f ca="1"/>
        <v>11.550733538461678</v>
      </c>
      <c r="G75" s="70">
        <f ca="1"/>
        <v>217.63550879854768</v>
      </c>
      <c r="H75" s="70">
        <f ca="1"/>
        <v>18.84170456134791</v>
      </c>
      <c r="I75" s="70" t="str">
        <f ca="1"/>
        <v>Training</v>
      </c>
      <c r="J75" s="71">
        <f ca="1"/>
        <v>0.68633037776697225</v>
      </c>
      <c r="K75" s="21">
        <f t="shared" ca="1" si="1"/>
        <v>-11.514286950943074</v>
      </c>
      <c r="L75" s="21">
        <f t="shared" ca="1" si="2"/>
        <v>-93.654309366589985</v>
      </c>
      <c r="M75" s="54"/>
      <c r="N75" s="53"/>
      <c r="O75" s="69">
        <f ca="1"/>
        <v>217.63550879854768</v>
      </c>
      <c r="P75" s="70">
        <f ca="1"/>
        <v>229.14979574949075</v>
      </c>
      <c r="Q75" s="70" t="str">
        <f ca="1"/>
        <v>Training</v>
      </c>
      <c r="R75" s="71">
        <f ca="1"/>
        <v>5.2906288199510536</v>
      </c>
      <c r="V75"/>
      <c r="W75"/>
      <c r="X75"/>
      <c r="Y75"/>
      <c r="Z75"/>
      <c r="AA75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3"/>
      <c r="O76" s="53"/>
      <c r="P76" s="53"/>
      <c r="Q76" s="53"/>
      <c r="R76" s="53"/>
    </row>
    <row r="77" spans="1:27" x14ac:dyDescent="0.3">
      <c r="K77" s="52"/>
      <c r="L77" s="52"/>
    </row>
    <row r="78" spans="1:27" s="2" customFormat="1" x14ac:dyDescent="0.3">
      <c r="A78" s="28" t="str" cm="1">
        <f t="array" aca="1" ref="A78:J86" ca="1">_xlfn._xlws.FILTER(Data_1Ch[],Data_1Ch[T / V]="Validation")</f>
        <v>RT11</v>
      </c>
      <c r="B78" s="29">
        <f ca="1"/>
        <v>170</v>
      </c>
      <c r="C78" s="29" t="str">
        <f ca="1"/>
        <v>Solidification</v>
      </c>
      <c r="D78" s="29">
        <f ca="1"/>
        <v>1</v>
      </c>
      <c r="E78" s="29">
        <f ca="1"/>
        <v>2</v>
      </c>
      <c r="F78" s="29">
        <f ca="1"/>
        <v>12.414593957682301</v>
      </c>
      <c r="G78" s="29">
        <f ca="1"/>
        <v>251.89549266775174</v>
      </c>
      <c r="H78" s="29">
        <f ca="1"/>
        <v>20.290272362220573</v>
      </c>
      <c r="I78" s="29" t="str">
        <f ca="1"/>
        <v>Validation</v>
      </c>
      <c r="J78" s="30">
        <f ca="1"/>
        <v>0.52271779141243901</v>
      </c>
      <c r="K78" s="31"/>
      <c r="L78" s="31"/>
      <c r="M78" s="32"/>
      <c r="N78" s="31"/>
      <c r="O78" s="28" cm="1">
        <f t="array" aca="1" ref="O78:R86" ca="1">_xlfn._xlws.FILTER(Estimates_1Ch[],Estimates_1Ch[T / V]="Validation")</f>
        <v>251.89549266775174</v>
      </c>
      <c r="P78" s="29">
        <f ca="1"/>
        <v>246.28753318939698</v>
      </c>
      <c r="Q78" s="29" t="str">
        <f ca="1"/>
        <v>Validation</v>
      </c>
      <c r="R78" s="30">
        <f ca="1"/>
        <v>2.2263040195608479</v>
      </c>
      <c r="V78"/>
      <c r="W78"/>
      <c r="X78"/>
      <c r="Y78"/>
      <c r="Z78"/>
      <c r="AA78"/>
    </row>
    <row r="79" spans="1:27" s="2" customFormat="1" x14ac:dyDescent="0.3">
      <c r="A79" s="33" t="str">
        <f ca="1"/>
        <v>RT8 (15mm)</v>
      </c>
      <c r="B79" s="31">
        <f ca="1"/>
        <v>170</v>
      </c>
      <c r="C79" s="31" t="str">
        <f ca="1"/>
        <v>Melting</v>
      </c>
      <c r="D79" s="31">
        <f ca="1"/>
        <v>1</v>
      </c>
      <c r="E79" s="31">
        <f ca="1"/>
        <v>2</v>
      </c>
      <c r="F79" s="31">
        <f ca="1"/>
        <v>17.935800000001304</v>
      </c>
      <c r="G79" s="31">
        <f ca="1"/>
        <v>365.21590909090946</v>
      </c>
      <c r="H79" s="31">
        <f ca="1"/>
        <v>20.36239861566715</v>
      </c>
      <c r="I79" s="31" t="str">
        <f ca="1"/>
        <v>Validation</v>
      </c>
      <c r="J79" s="34">
        <f ca="1"/>
        <v>0.54298962872875034</v>
      </c>
      <c r="K79" s="31"/>
      <c r="L79" s="31"/>
      <c r="M79" s="32"/>
      <c r="N79" s="31"/>
      <c r="O79" s="33">
        <f ca="1"/>
        <v>365.21590909090946</v>
      </c>
      <c r="P79" s="31">
        <f ca="1"/>
        <v>355.82025097527975</v>
      </c>
      <c r="Q79" s="31" t="str">
        <f ca="1"/>
        <v>Validation</v>
      </c>
      <c r="R79" s="34">
        <f ca="1"/>
        <v>2.5726311153906907</v>
      </c>
      <c r="V79"/>
      <c r="W79"/>
      <c r="X79"/>
      <c r="Y79"/>
      <c r="Z79"/>
      <c r="AA79"/>
    </row>
    <row r="80" spans="1:27" s="2" customFormat="1" x14ac:dyDescent="0.3">
      <c r="A80" s="33" t="str">
        <f ca="1"/>
        <v>RT8 (15mm)</v>
      </c>
      <c r="B80" s="31">
        <f ca="1"/>
        <v>170</v>
      </c>
      <c r="C80" s="31" t="str">
        <f ca="1"/>
        <v>Solidification</v>
      </c>
      <c r="D80" s="31">
        <f ca="1"/>
        <v>1</v>
      </c>
      <c r="E80" s="31">
        <f ca="1"/>
        <v>2</v>
      </c>
      <c r="F80" s="31">
        <f ca="1"/>
        <v>20.233381415732683</v>
      </c>
      <c r="G80" s="31">
        <f ca="1"/>
        <v>404.99093146994846</v>
      </c>
      <c r="H80" s="31">
        <f ca="1"/>
        <v>20.015978701169711</v>
      </c>
      <c r="I80" s="31" t="str">
        <f ca="1"/>
        <v>Validation</v>
      </c>
      <c r="J80" s="34">
        <f ca="1"/>
        <v>0.7646426536522718</v>
      </c>
      <c r="K80" s="31"/>
      <c r="L80" s="31"/>
      <c r="M80" s="32"/>
      <c r="N80" s="31"/>
      <c r="O80" s="33">
        <f ca="1"/>
        <v>404.99093146994846</v>
      </c>
      <c r="P80" s="31">
        <f ca="1"/>
        <v>401.40093296223421</v>
      </c>
      <c r="Q80" s="31" t="str">
        <f ca="1"/>
        <v>Validation</v>
      </c>
      <c r="R80" s="34">
        <f ca="1"/>
        <v>0.88643923326481799</v>
      </c>
      <c r="V80"/>
      <c r="W80"/>
      <c r="X80"/>
      <c r="Y80"/>
      <c r="Z80"/>
      <c r="AA80"/>
    </row>
    <row r="81" spans="1:27" s="2" customFormat="1" x14ac:dyDescent="0.3">
      <c r="A81" s="33" t="str">
        <f ca="1"/>
        <v>RT24</v>
      </c>
      <c r="B81" s="31">
        <f ca="1"/>
        <v>170</v>
      </c>
      <c r="C81" s="31" t="str">
        <f ca="1"/>
        <v>Solidification</v>
      </c>
      <c r="D81" s="31">
        <f ca="1"/>
        <v>1</v>
      </c>
      <c r="E81" s="31">
        <f ca="1"/>
        <v>1</v>
      </c>
      <c r="F81" s="31">
        <f ca="1"/>
        <v>19.086000000000098</v>
      </c>
      <c r="G81" s="31">
        <f ca="1"/>
        <v>387.39479999999998</v>
      </c>
      <c r="H81" s="31">
        <f ca="1"/>
        <v>20.297327884313002</v>
      </c>
      <c r="I81" s="31" t="str">
        <f ca="1"/>
        <v>Validation</v>
      </c>
      <c r="J81" s="34">
        <f ca="1"/>
        <v>0.95454337728047445</v>
      </c>
      <c r="K81" s="31"/>
      <c r="L81" s="31"/>
      <c r="M81" s="32"/>
      <c r="N81" s="31"/>
      <c r="O81" s="33">
        <f ca="1"/>
        <v>387.39479999999998</v>
      </c>
      <c r="P81" s="31">
        <f ca="1"/>
        <v>378.6385502800951</v>
      </c>
      <c r="Q81" s="31" t="str">
        <f ca="1"/>
        <v>Validation</v>
      </c>
      <c r="R81" s="34">
        <f ca="1"/>
        <v>2.2602909796168849</v>
      </c>
      <c r="V81"/>
      <c r="W81"/>
      <c r="X81"/>
      <c r="Y81"/>
      <c r="Z81"/>
      <c r="AA81"/>
    </row>
    <row r="82" spans="1:27" s="2" customFormat="1" x14ac:dyDescent="0.3">
      <c r="A82" s="33" t="str">
        <f ca="1"/>
        <v>RT11</v>
      </c>
      <c r="B82" s="31">
        <f ca="1"/>
        <v>170</v>
      </c>
      <c r="C82" s="31" t="str">
        <f ca="1"/>
        <v>Melting</v>
      </c>
      <c r="D82" s="31">
        <f ca="1"/>
        <v>1</v>
      </c>
      <c r="E82" s="31">
        <f ca="1"/>
        <v>1</v>
      </c>
      <c r="F82" s="31">
        <f ca="1"/>
        <v>11.064381075029758</v>
      </c>
      <c r="G82" s="31">
        <f ca="1"/>
        <v>222.77243533078848</v>
      </c>
      <c r="H82" s="31">
        <f ca="1"/>
        <v>20.134197640168441</v>
      </c>
      <c r="I82" s="31" t="str">
        <f ca="1"/>
        <v>Validation</v>
      </c>
      <c r="J82" s="34">
        <f ca="1"/>
        <v>0.50013532169035069</v>
      </c>
      <c r="K82" s="31"/>
      <c r="L82" s="31"/>
      <c r="M82" s="32"/>
      <c r="N82" s="31"/>
      <c r="O82" s="33">
        <f ca="1"/>
        <v>222.77243533078848</v>
      </c>
      <c r="P82" s="31">
        <f ca="1"/>
        <v>219.50126846881307</v>
      </c>
      <c r="Q82" s="31" t="str">
        <f ca="1"/>
        <v>Validation</v>
      </c>
      <c r="R82" s="34">
        <f ca="1"/>
        <v>1.4683894159159114</v>
      </c>
      <c r="V82"/>
      <c r="W82"/>
      <c r="X82"/>
      <c r="Y82"/>
      <c r="Z82"/>
      <c r="AA82"/>
    </row>
    <row r="83" spans="1:27" s="2" customFormat="1" x14ac:dyDescent="0.3">
      <c r="A83" s="33" t="str">
        <f ca="1"/>
        <v>RT18</v>
      </c>
      <c r="B83" s="31">
        <f ca="1"/>
        <v>230</v>
      </c>
      <c r="C83" s="31" t="str">
        <f ca="1"/>
        <v>Melting</v>
      </c>
      <c r="D83" s="31">
        <f ca="1"/>
        <v>1</v>
      </c>
      <c r="E83" s="31">
        <f ca="1"/>
        <v>2</v>
      </c>
      <c r="F83" s="31">
        <f ca="1"/>
        <v>22.284430163528512</v>
      </c>
      <c r="G83" s="31">
        <f ca="1"/>
        <v>438.58518732334858</v>
      </c>
      <c r="H83" s="31">
        <f ca="1"/>
        <v>19.681238609419442</v>
      </c>
      <c r="I83" s="31" t="str">
        <f ca="1"/>
        <v>Validation</v>
      </c>
      <c r="J83" s="34">
        <f ca="1"/>
        <v>0.2297610290576152</v>
      </c>
      <c r="K83" s="31"/>
      <c r="L83" s="31"/>
      <c r="M83" s="32"/>
      <c r="N83" s="31"/>
      <c r="O83" s="33">
        <f ca="1"/>
        <v>438.58518732334858</v>
      </c>
      <c r="P83" s="31">
        <f ca="1"/>
        <v>442.09076448372713</v>
      </c>
      <c r="Q83" s="31" t="str">
        <f ca="1"/>
        <v>Validation</v>
      </c>
      <c r="R83" s="34">
        <f ca="1"/>
        <v>0.7992921926462716</v>
      </c>
      <c r="V83"/>
      <c r="W83"/>
      <c r="X83"/>
      <c r="Y83"/>
      <c r="Z83"/>
      <c r="AA83"/>
    </row>
    <row r="84" spans="1:27" s="2" customFormat="1" x14ac:dyDescent="0.3">
      <c r="A84" s="33" t="str">
        <f ca="1"/>
        <v>RT18</v>
      </c>
      <c r="B84" s="31">
        <f ca="1"/>
        <v>230</v>
      </c>
      <c r="C84" s="31" t="str">
        <f ca="1"/>
        <v>Melting</v>
      </c>
      <c r="D84" s="31">
        <f ca="1"/>
        <v>1</v>
      </c>
      <c r="E84" s="31">
        <f ca="1"/>
        <v>1</v>
      </c>
      <c r="F84" s="31">
        <f ca="1"/>
        <v>27.071048094113475</v>
      </c>
      <c r="G84" s="31">
        <f ca="1"/>
        <v>497.44749309176234</v>
      </c>
      <c r="H84" s="31">
        <f ca="1"/>
        <v>18.37562739951435</v>
      </c>
      <c r="I84" s="31" t="str">
        <f ca="1"/>
        <v>Validation</v>
      </c>
      <c r="J84" s="34">
        <f ca="1"/>
        <v>0.86783288014055582</v>
      </c>
      <c r="K84" s="31"/>
      <c r="L84" s="31"/>
      <c r="M84" s="32"/>
      <c r="N84" s="31"/>
      <c r="O84" s="33">
        <f ca="1"/>
        <v>497.44749309176234</v>
      </c>
      <c r="P84" s="31">
        <f ca="1"/>
        <v>537.05031986365952</v>
      </c>
      <c r="Q84" s="31" t="str">
        <f ca="1"/>
        <v>Validation</v>
      </c>
      <c r="R84" s="34">
        <f ca="1"/>
        <v>7.961207428296718</v>
      </c>
      <c r="V84"/>
      <c r="W84"/>
      <c r="X84"/>
      <c r="Y84"/>
      <c r="Z84"/>
      <c r="AA84"/>
    </row>
    <row r="85" spans="1:27" s="2" customFormat="1" x14ac:dyDescent="0.3">
      <c r="A85" s="33" t="str">
        <f ca="1"/>
        <v>RT24</v>
      </c>
      <c r="B85" s="31">
        <f ca="1"/>
        <v>170</v>
      </c>
      <c r="C85" s="31" t="str">
        <f ca="1"/>
        <v>Melting</v>
      </c>
      <c r="D85" s="31">
        <f ca="1"/>
        <v>1</v>
      </c>
      <c r="E85" s="31">
        <f ca="1"/>
        <v>2</v>
      </c>
      <c r="F85" s="31">
        <f ca="1"/>
        <v>11.275199999993378</v>
      </c>
      <c r="G85" s="31">
        <f ca="1"/>
        <v>242.68199999999433</v>
      </c>
      <c r="H85" s="31">
        <f ca="1"/>
        <v>21.523520647096007</v>
      </c>
      <c r="I85" s="31" t="str">
        <f ca="1"/>
        <v>Validation</v>
      </c>
      <c r="J85" s="34">
        <f ca="1"/>
        <v>0.84144791426354493</v>
      </c>
      <c r="K85" s="31"/>
      <c r="L85" s="31"/>
      <c r="M85" s="32"/>
      <c r="N85" s="31"/>
      <c r="O85" s="33">
        <f ca="1"/>
        <v>242.68199999999433</v>
      </c>
      <c r="P85" s="31">
        <f ca="1"/>
        <v>223.68361008674415</v>
      </c>
      <c r="Q85" s="31" t="str">
        <f ca="1"/>
        <v>Validation</v>
      </c>
      <c r="R85" s="34">
        <f ca="1"/>
        <v>7.828512173647252</v>
      </c>
      <c r="V85"/>
      <c r="W85"/>
      <c r="X85"/>
      <c r="Y85"/>
      <c r="Z85"/>
      <c r="AA85"/>
    </row>
    <row r="86" spans="1:27" s="2" customFormat="1" x14ac:dyDescent="0.3">
      <c r="A86" s="35" t="str">
        <f ca="1"/>
        <v>RT8</v>
      </c>
      <c r="B86" s="36">
        <f ca="1"/>
        <v>170</v>
      </c>
      <c r="C86" s="36" t="str">
        <f ca="1"/>
        <v>Melting</v>
      </c>
      <c r="D86" s="36">
        <f ca="1"/>
        <v>1</v>
      </c>
      <c r="E86" s="36">
        <f ca="1"/>
        <v>1</v>
      </c>
      <c r="F86" s="36">
        <f ca="1"/>
        <v>7.7868000000008877</v>
      </c>
      <c r="G86" s="36">
        <f ca="1"/>
        <v>134.81040000000056</v>
      </c>
      <c r="H86" s="36">
        <f ca="1"/>
        <v>17.312683002001489</v>
      </c>
      <c r="I86" s="36" t="str">
        <f ca="1"/>
        <v>Validation</v>
      </c>
      <c r="J86" s="37">
        <f ca="1"/>
        <v>0.62818733664417137</v>
      </c>
      <c r="K86" s="31"/>
      <c r="L86" s="31"/>
      <c r="M86" s="32"/>
      <c r="N86" s="31"/>
      <c r="O86" s="35">
        <f ca="1"/>
        <v>134.81040000000056</v>
      </c>
      <c r="P86" s="36">
        <f ca="1"/>
        <v>154.47881501212228</v>
      </c>
      <c r="Q86" s="36" t="str">
        <f ca="1"/>
        <v>Validation</v>
      </c>
      <c r="R86" s="37">
        <f ca="1"/>
        <v>14.589686709720946</v>
      </c>
      <c r="V86"/>
      <c r="W86"/>
      <c r="X86"/>
      <c r="Y86"/>
      <c r="Z86"/>
      <c r="AA86"/>
    </row>
    <row r="87" spans="1:27" s="2" customForma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/>
      <c r="N87" s="31"/>
      <c r="O87" s="31"/>
      <c r="P87" s="31"/>
      <c r="Q87" s="31"/>
      <c r="R87" s="31"/>
      <c r="V87"/>
      <c r="W87"/>
      <c r="X87"/>
      <c r="Y87"/>
      <c r="Z87"/>
      <c r="AA87"/>
    </row>
    <row r="88" spans="1:27" s="2" customForma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1"/>
      <c r="O88" s="31"/>
      <c r="P88" s="31"/>
      <c r="Q88" s="31"/>
      <c r="R88" s="31"/>
      <c r="V88"/>
      <c r="W88"/>
      <c r="X88"/>
      <c r="Y88"/>
      <c r="Z88"/>
      <c r="AA88"/>
    </row>
    <row r="89" spans="1:27" s="2" customForma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/>
      <c r="N89" s="31"/>
      <c r="O89" s="31"/>
      <c r="P89" s="31"/>
      <c r="Q89" s="31"/>
      <c r="R89" s="31"/>
      <c r="V89"/>
      <c r="W89"/>
      <c r="X89"/>
      <c r="Y89"/>
      <c r="Z89"/>
      <c r="AA89"/>
    </row>
    <row r="90" spans="1:27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O90" s="31"/>
      <c r="P90" s="31"/>
      <c r="Q90" s="31"/>
      <c r="R90" s="31"/>
    </row>
    <row r="91" spans="1:27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O91" s="31"/>
      <c r="P91" s="31"/>
      <c r="Q91" s="31"/>
      <c r="R91" s="31"/>
    </row>
    <row r="92" spans="1:27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O92" s="31"/>
      <c r="P92" s="31"/>
      <c r="Q92" s="31"/>
      <c r="R92" s="31"/>
    </row>
    <row r="93" spans="1:27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O93" s="31"/>
      <c r="P93" s="31"/>
      <c r="Q93" s="31"/>
      <c r="R93" s="31"/>
    </row>
    <row r="94" spans="1:27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O94" s="31"/>
      <c r="P94" s="31"/>
      <c r="Q94" s="31"/>
      <c r="R94" s="31"/>
    </row>
    <row r="95" spans="1:27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O95" s="31"/>
      <c r="P95" s="31"/>
      <c r="Q95" s="31"/>
      <c r="R95" s="31"/>
    </row>
  </sheetData>
  <mergeCells count="2">
    <mergeCell ref="A1:M1"/>
    <mergeCell ref="O1:R1"/>
  </mergeCells>
  <conditionalFormatting sqref="I22:I77">
    <cfRule type="expression" dxfId="1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094B-C66F-41E0-A6D7-B4064CEBC9AE}">
  <dimension ref="A1:AA95"/>
  <sheetViews>
    <sheetView topLeftCell="A58" zoomScale="70" zoomScaleNormal="70" workbookViewId="0">
      <selection activeCell="U29" sqref="U29"/>
    </sheetView>
  </sheetViews>
  <sheetFormatPr baseColWidth="10" defaultRowHeight="14.4" x14ac:dyDescent="0.3"/>
  <cols>
    <col min="1" max="1" width="10.6640625" style="3" customWidth="1"/>
    <col min="2" max="2" width="10.33203125" style="3" customWidth="1"/>
    <col min="3" max="3" width="14.6640625" style="3" bestFit="1" customWidth="1"/>
    <col min="4" max="4" width="8.33203125" style="3" bestFit="1" customWidth="1"/>
    <col min="5" max="5" width="11" style="3" bestFit="1" customWidth="1"/>
    <col min="6" max="6" width="11.44140625" style="3" customWidth="1"/>
    <col min="7" max="7" width="11" style="3" customWidth="1"/>
    <col min="8" max="8" width="11.6640625" style="3" customWidth="1"/>
    <col min="9" max="9" width="15.44140625" style="3" bestFit="1" customWidth="1"/>
    <col min="10" max="10" width="12.44140625" style="3" bestFit="1" customWidth="1"/>
    <col min="11" max="12" width="8.33203125" style="3" hidden="1" customWidth="1"/>
    <col min="13" max="13" width="6.44140625" style="8" customWidth="1"/>
    <col min="14" max="14" width="8.33203125" style="3" customWidth="1"/>
    <col min="15" max="15" width="18.88671875" style="3" bestFit="1" customWidth="1"/>
    <col min="16" max="16" width="15" style="3" customWidth="1"/>
    <col min="17" max="17" width="14.6640625" style="3" customWidth="1"/>
    <col min="18" max="18" width="11.5546875" style="3"/>
    <col min="19" max="19" width="9.33203125" style="2" customWidth="1"/>
    <col min="20" max="20" width="19.6640625" style="2" customWidth="1"/>
    <col min="21" max="21" width="15.109375" style="2" customWidth="1"/>
  </cols>
  <sheetData>
    <row r="1" spans="1:22" ht="33.6" x14ac:dyDescent="0.65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O1" s="79" t="s">
        <v>45</v>
      </c>
      <c r="P1" s="79"/>
      <c r="Q1" s="79"/>
      <c r="R1" s="79"/>
    </row>
    <row r="3" spans="1:22" x14ac:dyDescent="0.3">
      <c r="B3" s="38" t="s">
        <v>33</v>
      </c>
      <c r="C3" s="38"/>
      <c r="D3" s="38"/>
      <c r="I3" s="39"/>
      <c r="J3"/>
      <c r="K3"/>
      <c r="L3"/>
      <c r="M3" s="9"/>
      <c r="N3"/>
      <c r="O3" s="38" t="s">
        <v>35</v>
      </c>
      <c r="P3" s="38"/>
      <c r="Q3" s="13"/>
      <c r="R3" s="2"/>
      <c r="T3"/>
    </row>
    <row r="4" spans="1:22" x14ac:dyDescent="0.3">
      <c r="B4" s="6"/>
      <c r="C4" s="14" t="s">
        <v>26</v>
      </c>
      <c r="D4" s="14" t="s">
        <v>27</v>
      </c>
      <c r="I4" s="12"/>
      <c r="J4"/>
      <c r="K4"/>
      <c r="L4"/>
      <c r="M4" s="9"/>
      <c r="N4"/>
      <c r="O4" s="39" t="s">
        <v>21</v>
      </c>
      <c r="P4" s="2" t="s">
        <v>28</v>
      </c>
      <c r="Q4" s="3">
        <f ca="1">_xlfn.MAXIFS(Estimates_05Ch[Error],Estimates_05Ch[T / V],"Training")</f>
        <v>11.694950152488968</v>
      </c>
      <c r="R4" s="2"/>
      <c r="T4"/>
    </row>
    <row r="5" spans="1:22" x14ac:dyDescent="0.3">
      <c r="B5" s="11" t="s">
        <v>21</v>
      </c>
      <c r="C5" s="10">
        <v>0.7</v>
      </c>
      <c r="D5" s="10">
        <f>Training*D7</f>
        <v>21</v>
      </c>
      <c r="J5"/>
      <c r="K5"/>
      <c r="L5"/>
      <c r="M5" s="9"/>
      <c r="N5"/>
      <c r="O5" s="39"/>
      <c r="P5" s="2" t="s">
        <v>29</v>
      </c>
      <c r="Q5" s="3">
        <f ca="1">_xlfn.MINIFS(Estimates_05Ch[Error],Estimates_05Ch[T / V],"Training")</f>
        <v>0.28373776671554113</v>
      </c>
      <c r="R5" s="2"/>
      <c r="T5"/>
    </row>
    <row r="6" spans="1:22" x14ac:dyDescent="0.3">
      <c r="B6" s="12" t="s">
        <v>22</v>
      </c>
      <c r="C6" s="3">
        <f>1-C5</f>
        <v>0.30000000000000004</v>
      </c>
      <c r="D6" s="3">
        <f>Validation*D7</f>
        <v>9.0000000000000018</v>
      </c>
      <c r="J6"/>
      <c r="K6"/>
      <c r="L6"/>
      <c r="M6" s="9"/>
      <c r="N6"/>
      <c r="O6" s="39"/>
      <c r="P6" s="2" t="s">
        <v>30</v>
      </c>
      <c r="Q6" s="3">
        <f ca="1">AVERAGEIFS(Estimates_05Ch[Error],Estimates_05Ch[T / V],"Training")</f>
        <v>4.6860450168458563</v>
      </c>
      <c r="R6" s="2"/>
      <c r="T6"/>
    </row>
    <row r="7" spans="1:22" x14ac:dyDescent="0.3">
      <c r="B7" s="13" t="s">
        <v>23</v>
      </c>
      <c r="C7" s="7">
        <v>1</v>
      </c>
      <c r="D7" s="7">
        <f>COUNT(Data_05Ch[L])</f>
        <v>30</v>
      </c>
      <c r="J7"/>
      <c r="K7"/>
      <c r="L7"/>
      <c r="M7" s="9"/>
      <c r="N7"/>
      <c r="O7" s="39" t="s">
        <v>22</v>
      </c>
      <c r="P7" s="2" t="s">
        <v>28</v>
      </c>
      <c r="Q7" s="3">
        <f ca="1">_xlfn.MAXIFS(Estimates_05Ch[Error],Estimates_05Ch[T / V],"Validation")</f>
        <v>16.631295023649184</v>
      </c>
      <c r="R7" s="2"/>
      <c r="T7"/>
    </row>
    <row r="8" spans="1:22" x14ac:dyDescent="0.3">
      <c r="J8"/>
      <c r="K8"/>
      <c r="L8"/>
      <c r="M8" s="9"/>
      <c r="N8"/>
      <c r="O8" s="39"/>
      <c r="P8" s="2" t="s">
        <v>29</v>
      </c>
      <c r="Q8" s="3">
        <f ca="1">_xlfn.MINIFS(Estimates_05Ch[Error],Estimates_05Ch[T / V],"Validation")</f>
        <v>0.52404668181420389</v>
      </c>
      <c r="R8" s="2"/>
      <c r="T8"/>
    </row>
    <row r="9" spans="1:22" x14ac:dyDescent="0.3">
      <c r="J9"/>
      <c r="K9"/>
      <c r="L9"/>
      <c r="M9" s="9"/>
      <c r="N9"/>
      <c r="O9" s="38"/>
      <c r="P9" s="4" t="s">
        <v>30</v>
      </c>
      <c r="Q9" s="7">
        <f ca="1">AVERAGEIFS(Estimates_05Ch[Error],Estimates_05Ch[T / V],"Validation")</f>
        <v>8.2367103090750149</v>
      </c>
      <c r="R9" s="2"/>
      <c r="T9"/>
    </row>
    <row r="10" spans="1:22" x14ac:dyDescent="0.3">
      <c r="B10" s="39" t="s">
        <v>34</v>
      </c>
      <c r="C10" s="13"/>
      <c r="J10"/>
      <c r="K10"/>
      <c r="L10"/>
      <c r="M10" s="9"/>
      <c r="N10"/>
      <c r="O10" s="39"/>
      <c r="P10" s="2"/>
      <c r="R10" s="2"/>
      <c r="T10"/>
    </row>
    <row r="11" spans="1:22" x14ac:dyDescent="0.3">
      <c r="B11" s="11" t="s">
        <v>15</v>
      </c>
      <c r="C11" s="3">
        <f ca="1">SUMPRODUCT(F55:F75,G55:G75)/SUMSQ(F55:F75)</f>
        <v>20.92381105463415</v>
      </c>
      <c r="J11"/>
      <c r="K11"/>
      <c r="L11"/>
      <c r="M11" s="9"/>
      <c r="N11"/>
      <c r="O11" s="39"/>
      <c r="P11" s="2"/>
      <c r="R11" s="2"/>
      <c r="T11"/>
    </row>
    <row r="12" spans="1:22" x14ac:dyDescent="0.3">
      <c r="B12" s="12" t="s">
        <v>14</v>
      </c>
      <c r="C12" s="3">
        <v>0</v>
      </c>
      <c r="G12"/>
      <c r="H12" s="2"/>
      <c r="I12"/>
      <c r="J12"/>
      <c r="K12"/>
      <c r="L12"/>
      <c r="M12" s="9"/>
      <c r="N12" s="73"/>
      <c r="O12" s="5"/>
      <c r="P12" s="5"/>
      <c r="Q12" s="40"/>
      <c r="R12" s="5"/>
      <c r="S12" s="5"/>
      <c r="T12" s="73"/>
      <c r="U12" s="5"/>
      <c r="V12" s="73"/>
    </row>
    <row r="13" spans="1:22" ht="16.2" x14ac:dyDescent="0.3">
      <c r="B13" s="13" t="s">
        <v>31</v>
      </c>
      <c r="C13" s="7">
        <f ca="1">1-SUMSQ(K53:K89)/SUMSQ(L53:L89)</f>
        <v>0.977316660123556</v>
      </c>
      <c r="N13" s="5"/>
      <c r="O13" s="74"/>
      <c r="P13" s="5"/>
      <c r="Q13" s="40"/>
      <c r="R13" s="5"/>
      <c r="S13" s="5"/>
      <c r="T13" s="73"/>
      <c r="U13" s="5"/>
      <c r="V13" s="73"/>
    </row>
    <row r="14" spans="1:22" x14ac:dyDescent="0.3">
      <c r="N14" s="5"/>
      <c r="O14" s="40"/>
      <c r="P14" s="5"/>
      <c r="Q14" s="40"/>
      <c r="R14" s="5"/>
      <c r="S14" s="5"/>
      <c r="T14" s="73"/>
      <c r="U14" s="5"/>
      <c r="V14" s="73"/>
    </row>
    <row r="15" spans="1:22" x14ac:dyDescent="0.3">
      <c r="B15" s="51" t="s">
        <v>39</v>
      </c>
      <c r="N15" s="5"/>
      <c r="O15" s="15"/>
      <c r="P15" s="15"/>
      <c r="Q15" s="15"/>
      <c r="R15" s="15"/>
      <c r="S15" s="15"/>
      <c r="T15" s="16"/>
      <c r="U15" s="5"/>
      <c r="V15" s="73"/>
    </row>
    <row r="16" spans="1:22" ht="15.6" x14ac:dyDescent="0.35">
      <c r="B16" s="14" t="s">
        <v>40</v>
      </c>
      <c r="C16" s="14" t="s">
        <v>41</v>
      </c>
      <c r="N16" s="40"/>
      <c r="O16" s="16" t="s">
        <v>17</v>
      </c>
      <c r="P16" s="16" t="s">
        <v>18</v>
      </c>
      <c r="Q16" s="17">
        <v>-0.1</v>
      </c>
      <c r="R16" s="17">
        <v>-0.2</v>
      </c>
      <c r="S16" s="17">
        <v>0.1</v>
      </c>
      <c r="T16" s="17">
        <v>0.2</v>
      </c>
      <c r="U16" s="5"/>
      <c r="V16" s="73"/>
    </row>
    <row r="17" spans="1:27" x14ac:dyDescent="0.3">
      <c r="B17" s="10">
        <v>6</v>
      </c>
      <c r="C17" s="10">
        <f ca="1">B17*C11</f>
        <v>125.5428663278049</v>
      </c>
      <c r="N17" s="40"/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5"/>
      <c r="V17" s="73"/>
    </row>
    <row r="18" spans="1:27" x14ac:dyDescent="0.3">
      <c r="B18" s="7">
        <v>28</v>
      </c>
      <c r="C18" s="7">
        <f ca="1">B18*C11</f>
        <v>585.86670952975624</v>
      </c>
      <c r="N18" s="40"/>
      <c r="O18" s="16">
        <v>1000</v>
      </c>
      <c r="P18" s="16">
        <f>O18</f>
        <v>1000</v>
      </c>
      <c r="Q18" s="16">
        <f>0.9*O18</f>
        <v>900</v>
      </c>
      <c r="R18" s="16">
        <f>0.8*O18</f>
        <v>800</v>
      </c>
      <c r="S18" s="16">
        <f>1.1*O18</f>
        <v>1100</v>
      </c>
      <c r="T18" s="16">
        <f>1.2*O18</f>
        <v>1200</v>
      </c>
      <c r="U18" s="5"/>
      <c r="V18" s="73"/>
    </row>
    <row r="19" spans="1:27" x14ac:dyDescent="0.3">
      <c r="N19" s="40"/>
      <c r="O19" s="15"/>
      <c r="P19" s="15"/>
      <c r="Q19" s="15"/>
      <c r="R19" s="15"/>
      <c r="S19" s="15"/>
      <c r="T19" s="15"/>
      <c r="U19" s="5"/>
      <c r="V19" s="73"/>
    </row>
    <row r="20" spans="1:27" x14ac:dyDescent="0.3">
      <c r="N20" s="40"/>
      <c r="O20" s="15"/>
      <c r="P20" s="15"/>
      <c r="Q20" s="15"/>
      <c r="R20" s="15"/>
      <c r="S20" s="15"/>
      <c r="T20" s="15"/>
      <c r="U20" s="5"/>
    </row>
    <row r="21" spans="1:27" x14ac:dyDescent="0.3">
      <c r="A21" s="3" t="s">
        <v>0</v>
      </c>
      <c r="B21" s="3" t="s">
        <v>1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13</v>
      </c>
      <c r="J21" s="3" t="s">
        <v>19</v>
      </c>
      <c r="O21" s="3" t="s">
        <v>16</v>
      </c>
      <c r="P21" s="3" t="s">
        <v>20</v>
      </c>
      <c r="Q21" s="3" t="s">
        <v>13</v>
      </c>
      <c r="R21" s="3" t="s">
        <v>32</v>
      </c>
      <c r="AA21" s="1"/>
    </row>
    <row r="22" spans="1:27" x14ac:dyDescent="0.3">
      <c r="A22" s="3" t="s">
        <v>38</v>
      </c>
      <c r="B22" s="3">
        <v>230</v>
      </c>
      <c r="C22" s="3" t="s">
        <v>9</v>
      </c>
      <c r="D22" s="3">
        <v>0.5</v>
      </c>
      <c r="E22" s="3">
        <v>2</v>
      </c>
      <c r="F22" s="3">
        <v>23.56542752499842</v>
      </c>
      <c r="G22" s="3">
        <v>527.0688230324987</v>
      </c>
      <c r="H22" s="3">
        <v>22.366189727446248</v>
      </c>
      <c r="I22" s="3" t="str">
        <f>IF(ROWS($I$22:I22)&lt;=n_T,"Training","Validation")</f>
        <v>Training</v>
      </c>
      <c r="J22" s="3">
        <f t="shared" ref="J22:J51" ca="1" si="0">RAND()</f>
        <v>9.8108230884418224E-2</v>
      </c>
      <c r="K22" s="52"/>
      <c r="L22" s="52"/>
      <c r="O22" s="3">
        <f>Data_05Ch[[#This Row],[A_q]]</f>
        <v>527.0688230324987</v>
      </c>
      <c r="P22" s="3">
        <f ca="1">Data_05Ch[[#This Row],[A_T]]*$C$11</f>
        <v>493.07855295474184</v>
      </c>
      <c r="Q22" s="3" t="str">
        <f>Data_05Ch[[#This Row],[T / V]]</f>
        <v>Training</v>
      </c>
      <c r="R22" s="3">
        <f ca="1">ABS((Estimates_05Ch[[#This Row],[A_q predicted (b=0)]]-Estimates_05Ch[[#This Row],[A_q measured]])/Estimates_05Ch[[#This Row],[A_q measured]])*100</f>
        <v>6.4489244274008302</v>
      </c>
      <c r="V22" s="2"/>
    </row>
    <row r="23" spans="1:27" x14ac:dyDescent="0.3">
      <c r="A23" s="3" t="s">
        <v>38</v>
      </c>
      <c r="B23" s="3">
        <v>230</v>
      </c>
      <c r="C23" s="3" t="s">
        <v>9</v>
      </c>
      <c r="D23" s="3">
        <v>0.5</v>
      </c>
      <c r="E23" s="3">
        <v>1</v>
      </c>
      <c r="F23" s="3">
        <v>25.133748384813632</v>
      </c>
      <c r="G23" s="3">
        <v>559.05236689916728</v>
      </c>
      <c r="H23" s="3">
        <v>22.243095551834166</v>
      </c>
      <c r="I23" s="3" t="str">
        <f>IF(ROWS($I$22:I23)&lt;=n_T,"Training","Validation")</f>
        <v>Training</v>
      </c>
      <c r="J23" s="3">
        <f t="shared" ca="1" si="0"/>
        <v>0.96965122649361701</v>
      </c>
      <c r="K23" s="52"/>
      <c r="L23" s="52"/>
      <c r="O23" s="3">
        <f>Data_05Ch[[#This Row],[A_q]]</f>
        <v>559.05236689916728</v>
      </c>
      <c r="P23" s="3">
        <f ca="1">Data_05Ch[[#This Row],[A_T]]*$C$11</f>
        <v>525.89380229855669</v>
      </c>
      <c r="Q23" s="3" t="str">
        <f>Data_05Ch[[#This Row],[T / V]]</f>
        <v>Training</v>
      </c>
      <c r="R23" s="3">
        <f ca="1">ABS((Estimates_05Ch[[#This Row],[A_q predicted (b=0)]]-Estimates_05Ch[[#This Row],[A_q measured]])/Estimates_05Ch[[#This Row],[A_q measured]])*100</f>
        <v>5.9312090537291633</v>
      </c>
    </row>
    <row r="24" spans="1:27" x14ac:dyDescent="0.3">
      <c r="A24" s="3" t="s">
        <v>37</v>
      </c>
      <c r="B24" s="3">
        <v>170</v>
      </c>
      <c r="C24" s="3" t="s">
        <v>10</v>
      </c>
      <c r="D24" s="3">
        <v>0.5</v>
      </c>
      <c r="E24" s="3">
        <v>1</v>
      </c>
      <c r="F24" s="3">
        <v>16.090530088193475</v>
      </c>
      <c r="G24" s="3">
        <v>334.92233180419032</v>
      </c>
      <c r="H24" s="3">
        <v>20.814872472718701</v>
      </c>
      <c r="I24" s="3" t="str">
        <f>IF(ROWS($I$22:I24)&lt;=n_T,"Training","Validation")</f>
        <v>Training</v>
      </c>
      <c r="J24" s="3">
        <f t="shared" ca="1" si="0"/>
        <v>0.37518202360071284</v>
      </c>
      <c r="K24" s="52"/>
      <c r="L24" s="52"/>
      <c r="O24" s="3">
        <f>Data_05Ch[[#This Row],[A_q]]</f>
        <v>334.92233180419032</v>
      </c>
      <c r="P24" s="3">
        <f ca="1">Data_05Ch[[#This Row],[A_T]]*$C$11</f>
        <v>336.67521133426607</v>
      </c>
      <c r="Q24" s="3" t="str">
        <f>Data_05Ch[[#This Row],[T / V]]</f>
        <v>Training</v>
      </c>
      <c r="R24" s="3">
        <f ca="1">ABS((Estimates_05Ch[[#This Row],[A_q predicted (b=0)]]-Estimates_05Ch[[#This Row],[A_q measured]])/Estimates_05Ch[[#This Row],[A_q measured]])*100</f>
        <v>0.52336896158377166</v>
      </c>
    </row>
    <row r="25" spans="1:27" x14ac:dyDescent="0.3">
      <c r="A25" s="3" t="s">
        <v>12</v>
      </c>
      <c r="B25" s="3">
        <v>170</v>
      </c>
      <c r="C25" s="3" t="s">
        <v>10</v>
      </c>
      <c r="D25" s="3">
        <v>0.5</v>
      </c>
      <c r="E25" s="3">
        <v>1</v>
      </c>
      <c r="F25" s="3">
        <v>10.128440696018268</v>
      </c>
      <c r="G25" s="3">
        <v>212.52860331422897</v>
      </c>
      <c r="H25" s="3">
        <v>20.983348739730392</v>
      </c>
      <c r="I25" s="3" t="str">
        <f>IF(ROWS($I$22:I25)&lt;=n_T,"Training","Validation")</f>
        <v>Training</v>
      </c>
      <c r="J25" s="3">
        <f t="shared" ca="1" si="0"/>
        <v>0.56283192635313939</v>
      </c>
      <c r="K25" s="52"/>
      <c r="L25" s="52"/>
      <c r="O25" s="3">
        <f>Data_05Ch[[#This Row],[A_q]]</f>
        <v>212.52860331422897</v>
      </c>
      <c r="P25" s="3">
        <f ca="1">Data_05Ch[[#This Row],[A_T]]*$C$11</f>
        <v>211.92557940155345</v>
      </c>
      <c r="Q25" s="3" t="str">
        <f>Data_05Ch[[#This Row],[T / V]]</f>
        <v>Training</v>
      </c>
      <c r="R25" s="3">
        <f ca="1">ABS((Estimates_05Ch[[#This Row],[A_q predicted (b=0)]]-Estimates_05Ch[[#This Row],[A_q measured]])/Estimates_05Ch[[#This Row],[A_q measured]])*100</f>
        <v>0.28373776671554113</v>
      </c>
    </row>
    <row r="26" spans="1:27" x14ac:dyDescent="0.3">
      <c r="A26" s="3" t="s">
        <v>8</v>
      </c>
      <c r="B26" s="3">
        <v>170</v>
      </c>
      <c r="C26" s="3" t="s">
        <v>9</v>
      </c>
      <c r="D26" s="3">
        <v>0.5</v>
      </c>
      <c r="E26" s="3">
        <v>2</v>
      </c>
      <c r="F26" s="3">
        <v>8.9898000000008071</v>
      </c>
      <c r="G26" s="3">
        <v>184.20239999999984</v>
      </c>
      <c r="H26" s="3">
        <v>20.490155509575661</v>
      </c>
      <c r="I26" s="3" t="str">
        <f>IF(ROWS($I$22:I26)&lt;=n_T,"Training","Validation")</f>
        <v>Training</v>
      </c>
      <c r="J26" s="3">
        <f t="shared" ca="1" si="0"/>
        <v>0.46823277429839028</v>
      </c>
      <c r="K26" s="52"/>
      <c r="L26" s="52"/>
      <c r="O26" s="3">
        <f>Data_05Ch[[#This Row],[A_q]]</f>
        <v>184.20239999999984</v>
      </c>
      <c r="P26" s="3">
        <f ca="1">Data_05Ch[[#This Row],[A_T]]*$C$11</f>
        <v>188.10087661896696</v>
      </c>
      <c r="Q26" s="3" t="str">
        <f>Data_05Ch[[#This Row],[T / V]]</f>
        <v>Training</v>
      </c>
      <c r="R26" s="3">
        <f ca="1">ABS((Estimates_05Ch[[#This Row],[A_q predicted (b=0)]]-Estimates_05Ch[[#This Row],[A_q measured]])/Estimates_05Ch[[#This Row],[A_q measured]])*100</f>
        <v>2.1164092427498917</v>
      </c>
    </row>
    <row r="27" spans="1:27" x14ac:dyDescent="0.3">
      <c r="A27" s="3" t="s">
        <v>37</v>
      </c>
      <c r="B27" s="3">
        <v>170</v>
      </c>
      <c r="C27" s="3" t="s">
        <v>9</v>
      </c>
      <c r="D27" s="3">
        <v>0.5</v>
      </c>
      <c r="E27" s="3">
        <v>3</v>
      </c>
      <c r="F27" s="3">
        <v>16.33920000000073</v>
      </c>
      <c r="G27" s="3">
        <v>353.55864367151293</v>
      </c>
      <c r="H27" s="3">
        <v>21.63867531283644</v>
      </c>
      <c r="I27" s="3" t="str">
        <f>IF(ROWS($I$22:I27)&lt;=n_T,"Training","Validation")</f>
        <v>Training</v>
      </c>
      <c r="J27" s="3">
        <f t="shared" ca="1" si="0"/>
        <v>0.65501464264219322</v>
      </c>
      <c r="K27" s="52"/>
      <c r="L27" s="52"/>
      <c r="O27" s="3">
        <f>Data_05Ch[[#This Row],[A_q]]</f>
        <v>353.55864367151293</v>
      </c>
      <c r="P27" s="3">
        <f ca="1">Data_05Ch[[#This Row],[A_T]]*$C$11</f>
        <v>341.87833358389361</v>
      </c>
      <c r="Q27" s="3" t="str">
        <f>Data_05Ch[[#This Row],[T / V]]</f>
        <v>Training</v>
      </c>
      <c r="R27" s="3">
        <f ca="1">ABS((Estimates_05Ch[[#This Row],[A_q predicted (b=0)]]-Estimates_05Ch[[#This Row],[A_q measured]])/Estimates_05Ch[[#This Row],[A_q measured]])*100</f>
        <v>3.3036415023900116</v>
      </c>
    </row>
    <row r="28" spans="1:27" x14ac:dyDescent="0.3">
      <c r="A28" s="3" t="s">
        <v>8</v>
      </c>
      <c r="B28" s="3">
        <v>170</v>
      </c>
      <c r="C28" s="3" t="s">
        <v>10</v>
      </c>
      <c r="D28" s="3">
        <v>0.5</v>
      </c>
      <c r="E28" s="3">
        <v>3</v>
      </c>
      <c r="F28" s="3">
        <v>6.6891725519443357</v>
      </c>
      <c r="G28" s="3">
        <v>134.90327528622092</v>
      </c>
      <c r="H28" s="3">
        <v>20.167408485674166</v>
      </c>
      <c r="I28" s="3" t="str">
        <f>IF(ROWS($I$22:I28)&lt;=n_T,"Training","Validation")</f>
        <v>Training</v>
      </c>
      <c r="J28" s="3">
        <f t="shared" ca="1" si="0"/>
        <v>3.5412334773004872E-2</v>
      </c>
      <c r="K28" s="52"/>
      <c r="L28" s="52"/>
      <c r="O28" s="3">
        <f>Data_05Ch[[#This Row],[A_q]]</f>
        <v>134.90327528622092</v>
      </c>
      <c r="P28" s="3">
        <f ca="1">Data_05Ch[[#This Row],[A_T]]*$C$11</f>
        <v>139.96298258872821</v>
      </c>
      <c r="Q28" s="3" t="str">
        <f>Data_05Ch[[#This Row],[T / V]]</f>
        <v>Training</v>
      </c>
      <c r="R28" s="3">
        <f ca="1">ABS((Estimates_05Ch[[#This Row],[A_q predicted (b=0)]]-Estimates_05Ch[[#This Row],[A_q measured]])/Estimates_05Ch[[#This Row],[A_q measured]])*100</f>
        <v>3.7506185759924926</v>
      </c>
    </row>
    <row r="29" spans="1:27" x14ac:dyDescent="0.3">
      <c r="A29" s="3" t="s">
        <v>12</v>
      </c>
      <c r="B29" s="3">
        <v>170</v>
      </c>
      <c r="C29" s="3" t="s">
        <v>9</v>
      </c>
      <c r="D29" s="3">
        <v>0.5</v>
      </c>
      <c r="E29" s="3">
        <v>3</v>
      </c>
      <c r="F29" s="3">
        <v>15.972408843058197</v>
      </c>
      <c r="G29" s="3">
        <v>309.82490270263128</v>
      </c>
      <c r="H29" s="3">
        <v>19.397506396618752</v>
      </c>
      <c r="I29" s="3" t="str">
        <f>IF(ROWS($I$22:I29)&lt;=n_T,"Training","Validation")</f>
        <v>Training</v>
      </c>
      <c r="J29" s="3">
        <f t="shared" ca="1" si="0"/>
        <v>0.94284946582831941</v>
      </c>
      <c r="K29" s="52"/>
      <c r="L29" s="52"/>
      <c r="O29" s="3">
        <f>Data_05Ch[[#This Row],[A_q]]</f>
        <v>309.82490270263128</v>
      </c>
      <c r="P29" s="3">
        <f ca="1">Data_05Ch[[#This Row],[A_T]]*$C$11</f>
        <v>334.20366471951735</v>
      </c>
      <c r="Q29" s="3" t="str">
        <f>Data_05Ch[[#This Row],[T / V]]</f>
        <v>Training</v>
      </c>
      <c r="R29" s="3">
        <f ca="1">ABS((Estimates_05Ch[[#This Row],[A_q predicted (b=0)]]-Estimates_05Ch[[#This Row],[A_q measured]])/Estimates_05Ch[[#This Row],[A_q measured]])*100</f>
        <v>7.8685611789846055</v>
      </c>
    </row>
    <row r="30" spans="1:27" x14ac:dyDescent="0.3">
      <c r="A30" s="3" t="s">
        <v>8</v>
      </c>
      <c r="B30" s="3">
        <v>170</v>
      </c>
      <c r="C30" s="3" t="s">
        <v>9</v>
      </c>
      <c r="D30" s="3">
        <v>0.5</v>
      </c>
      <c r="E30" s="3">
        <v>1</v>
      </c>
      <c r="F30" s="3">
        <v>9.9350536485328842</v>
      </c>
      <c r="G30" s="3">
        <v>186.1133247973641</v>
      </c>
      <c r="H30" s="3">
        <v>18.732996456928802</v>
      </c>
      <c r="I30" s="3" t="str">
        <f>IF(ROWS($I$22:I30)&lt;=n_T,"Training","Validation")</f>
        <v>Training</v>
      </c>
      <c r="J30" s="3">
        <f t="shared" ca="1" si="0"/>
        <v>0.37532313899597736</v>
      </c>
      <c r="K30" s="52"/>
      <c r="L30" s="52"/>
      <c r="O30" s="3">
        <f>Data_05Ch[[#This Row],[A_q]]</f>
        <v>186.1133247973641</v>
      </c>
      <c r="P30" s="3">
        <f ca="1">Data_05Ch[[#This Row],[A_T]]*$C$11</f>
        <v>207.87918535955572</v>
      </c>
      <c r="Q30" s="3" t="str">
        <f>Data_05Ch[[#This Row],[T / V]]</f>
        <v>Training</v>
      </c>
      <c r="R30" s="3">
        <f ca="1">ABS((Estimates_05Ch[[#This Row],[A_q predicted (b=0)]]-Estimates_05Ch[[#This Row],[A_q measured]])/Estimates_05Ch[[#This Row],[A_q measured]])*100</f>
        <v>11.694950152488968</v>
      </c>
    </row>
    <row r="31" spans="1:27" x14ac:dyDescent="0.3">
      <c r="A31" s="3" t="s">
        <v>8</v>
      </c>
      <c r="B31" s="3">
        <v>170</v>
      </c>
      <c r="C31" s="3" t="s">
        <v>10</v>
      </c>
      <c r="D31" s="3">
        <v>0.5</v>
      </c>
      <c r="E31" s="3">
        <v>2</v>
      </c>
      <c r="F31" s="3">
        <v>6.9327748784655023</v>
      </c>
      <c r="G31" s="3">
        <v>136.08228581679037</v>
      </c>
      <c r="H31" s="3">
        <v>19.62883379344791</v>
      </c>
      <c r="I31" s="3" t="str">
        <f>IF(ROWS($I$22:I31)&lt;=n_T,"Training","Validation")</f>
        <v>Training</v>
      </c>
      <c r="J31" s="3">
        <f t="shared" ca="1" si="0"/>
        <v>0.91233061953151173</v>
      </c>
      <c r="K31" s="52"/>
      <c r="L31" s="52"/>
      <c r="O31" s="3">
        <f>Data_05Ch[[#This Row],[A_q]]</f>
        <v>136.08228581679037</v>
      </c>
      <c r="P31" s="3">
        <f ca="1">Data_05Ch[[#This Row],[A_T]]*$C$11</f>
        <v>145.0600716413264</v>
      </c>
      <c r="Q31" s="3" t="str">
        <f>Data_05Ch[[#This Row],[T / V]]</f>
        <v>Training</v>
      </c>
      <c r="R31" s="3">
        <f ca="1">ABS((Estimates_05Ch[[#This Row],[A_q predicted (b=0)]]-Estimates_05Ch[[#This Row],[A_q measured]])/Estimates_05Ch[[#This Row],[A_q measured]])*100</f>
        <v>6.5973214446316373</v>
      </c>
    </row>
    <row r="32" spans="1:27" x14ac:dyDescent="0.3">
      <c r="A32" s="3" t="s">
        <v>12</v>
      </c>
      <c r="B32" s="3">
        <v>170</v>
      </c>
      <c r="C32" s="3" t="s">
        <v>10</v>
      </c>
      <c r="D32" s="3">
        <v>0.5</v>
      </c>
      <c r="E32" s="3">
        <v>3</v>
      </c>
      <c r="F32" s="3">
        <v>12.827573007786603</v>
      </c>
      <c r="G32" s="3">
        <v>256.02550949111617</v>
      </c>
      <c r="H32" s="3">
        <v>19.958998427504827</v>
      </c>
      <c r="I32" s="3" t="str">
        <f>IF(ROWS($I$22:I32)&lt;=n_T,"Training","Validation")</f>
        <v>Training</v>
      </c>
      <c r="J32" s="3">
        <f t="shared" ca="1" si="0"/>
        <v>0.66426915310688528</v>
      </c>
      <c r="K32" s="52"/>
      <c r="L32" s="52"/>
      <c r="O32" s="3">
        <f>Data_05Ch[[#This Row],[A_q]]</f>
        <v>256.02550949111617</v>
      </c>
      <c r="P32" s="3">
        <f ca="1">Data_05Ch[[#This Row],[A_T]]*$C$11</f>
        <v>268.40171390445192</v>
      </c>
      <c r="Q32" s="3" t="str">
        <f>Data_05Ch[[#This Row],[T / V]]</f>
        <v>Training</v>
      </c>
      <c r="R32" s="3">
        <f ca="1">ABS((Estimates_05Ch[[#This Row],[A_q predicted (b=0)]]-Estimates_05Ch[[#This Row],[A_q measured]])/Estimates_05Ch[[#This Row],[A_q measured]])*100</f>
        <v>4.8339731606960044</v>
      </c>
    </row>
    <row r="33" spans="1:27" s="2" customFormat="1" x14ac:dyDescent="0.3">
      <c r="A33" s="3" t="s">
        <v>11</v>
      </c>
      <c r="B33" s="3">
        <v>170</v>
      </c>
      <c r="C33" s="3" t="s">
        <v>9</v>
      </c>
      <c r="D33" s="3">
        <v>0.5</v>
      </c>
      <c r="E33" s="3">
        <v>1</v>
      </c>
      <c r="F33" s="3">
        <v>11.393531322500698</v>
      </c>
      <c r="G33" s="3">
        <v>236.18810812499981</v>
      </c>
      <c r="H33" s="3">
        <v>20.730017888181866</v>
      </c>
      <c r="I33" s="3" t="str">
        <f>IF(ROWS($I$22:I33)&lt;=n_T,"Training","Validation")</f>
        <v>Training</v>
      </c>
      <c r="J33" s="3">
        <f t="shared" ca="1" si="0"/>
        <v>0.69322701213498361</v>
      </c>
      <c r="K33" s="52"/>
      <c r="L33" s="52"/>
      <c r="M33" s="8"/>
      <c r="N33" s="3"/>
      <c r="O33" s="3">
        <f>Data_05Ch[[#This Row],[A_q]]</f>
        <v>236.18810812499981</v>
      </c>
      <c r="P33" s="3">
        <f ca="1">Data_05Ch[[#This Row],[A_T]]*$C$11</f>
        <v>238.39609663706054</v>
      </c>
      <c r="Q33" s="3" t="str">
        <f>Data_05Ch[[#This Row],[T / V]]</f>
        <v>Training</v>
      </c>
      <c r="R33" s="3">
        <f ca="1">ABS((Estimates_05Ch[[#This Row],[A_q predicted (b=0)]]-Estimates_05Ch[[#This Row],[A_q measured]])/Estimates_05Ch[[#This Row],[A_q measured]])*100</f>
        <v>0.93484321864848952</v>
      </c>
      <c r="V33"/>
      <c r="W33"/>
      <c r="X33"/>
      <c r="Y33"/>
      <c r="Z33"/>
      <c r="AA33"/>
    </row>
    <row r="34" spans="1:27" s="2" customFormat="1" x14ac:dyDescent="0.3">
      <c r="A34" s="3" t="s">
        <v>11</v>
      </c>
      <c r="B34" s="3">
        <v>170</v>
      </c>
      <c r="C34" s="3" t="s">
        <v>9</v>
      </c>
      <c r="D34" s="3">
        <v>0.5</v>
      </c>
      <c r="E34" s="3">
        <v>3</v>
      </c>
      <c r="F34" s="3">
        <v>14.158822452174912</v>
      </c>
      <c r="G34" s="3">
        <v>270.25498746086953</v>
      </c>
      <c r="H34" s="3">
        <v>19.087391509691273</v>
      </c>
      <c r="I34" s="3" t="str">
        <f>IF(ROWS($I$22:I34)&lt;=n_T,"Training","Validation")</f>
        <v>Training</v>
      </c>
      <c r="J34" s="3">
        <f t="shared" ca="1" si="0"/>
        <v>0.94452274835262728</v>
      </c>
      <c r="K34" s="52"/>
      <c r="L34" s="52"/>
      <c r="M34" s="8"/>
      <c r="N34" s="3"/>
      <c r="O34" s="3">
        <f>Data_05Ch[[#This Row],[A_q]]</f>
        <v>270.25498746086953</v>
      </c>
      <c r="P34" s="3">
        <f ca="1">Data_05Ch[[#This Row],[A_T]]*$C$11</f>
        <v>296.25652574541959</v>
      </c>
      <c r="Q34" s="3" t="str">
        <f>Data_05Ch[[#This Row],[T / V]]</f>
        <v>Training</v>
      </c>
      <c r="R34" s="3">
        <f ca="1">ABS((Estimates_05Ch[[#This Row],[A_q predicted (b=0)]]-Estimates_05Ch[[#This Row],[A_q measured]])/Estimates_05Ch[[#This Row],[A_q measured]])*100</f>
        <v>9.6211132045490384</v>
      </c>
      <c r="V34"/>
      <c r="W34"/>
      <c r="X34"/>
      <c r="Y34"/>
      <c r="Z34"/>
      <c r="AA34"/>
    </row>
    <row r="35" spans="1:27" s="2" customFormat="1" x14ac:dyDescent="0.3">
      <c r="A35" s="3" t="s">
        <v>37</v>
      </c>
      <c r="B35" s="3">
        <v>170</v>
      </c>
      <c r="C35" s="3" t="s">
        <v>9</v>
      </c>
      <c r="D35" s="3">
        <v>0.5</v>
      </c>
      <c r="E35" s="3">
        <v>1</v>
      </c>
      <c r="F35" s="3">
        <v>19.795800000000789</v>
      </c>
      <c r="G35" s="3">
        <v>417.0263999999998</v>
      </c>
      <c r="H35" s="3">
        <v>21.066408025944046</v>
      </c>
      <c r="I35" s="3" t="str">
        <f>IF(ROWS($I$22:I35)&lt;=n_T,"Training","Validation")</f>
        <v>Training</v>
      </c>
      <c r="J35" s="3">
        <f t="shared" ca="1" si="0"/>
        <v>0.13286409264483634</v>
      </c>
      <c r="K35" s="52"/>
      <c r="L35" s="52"/>
      <c r="M35" s="8"/>
      <c r="N35" s="3"/>
      <c r="O35" s="3">
        <f>Data_05Ch[[#This Row],[A_q]]</f>
        <v>417.0263999999998</v>
      </c>
      <c r="P35" s="3">
        <f ca="1">Data_05Ch[[#This Row],[A_T]]*$C$11</f>
        <v>414.20357887534323</v>
      </c>
      <c r="Q35" s="3" t="str">
        <f>Data_05Ch[[#This Row],[T / V]]</f>
        <v>Training</v>
      </c>
      <c r="R35" s="3">
        <f ca="1">ABS((Estimates_05Ch[[#This Row],[A_q predicted (b=0)]]-Estimates_05Ch[[#This Row],[A_q measured]])/Estimates_05Ch[[#This Row],[A_q measured]])*100</f>
        <v>0.67689266786385038</v>
      </c>
      <c r="V35"/>
      <c r="W35"/>
      <c r="X35"/>
      <c r="Y35"/>
      <c r="Z35"/>
      <c r="AA35"/>
    </row>
    <row r="36" spans="1:27" s="2" customFormat="1" x14ac:dyDescent="0.3">
      <c r="A36" s="3" t="s">
        <v>37</v>
      </c>
      <c r="B36" s="3">
        <v>170</v>
      </c>
      <c r="C36" s="3" t="s">
        <v>10</v>
      </c>
      <c r="D36" s="3">
        <v>0.5</v>
      </c>
      <c r="E36" s="3">
        <v>2</v>
      </c>
      <c r="F36" s="3">
        <v>14.901658243472077</v>
      </c>
      <c r="G36" s="3">
        <v>299.1960258608637</v>
      </c>
      <c r="H36" s="3">
        <v>20.078035677132213</v>
      </c>
      <c r="I36" s="3" t="str">
        <f>IF(ROWS($I$22:I36)&lt;=n_T,"Training","Validation")</f>
        <v>Training</v>
      </c>
      <c r="J36" s="3">
        <f t="shared" ca="1" si="0"/>
        <v>0.30117238207836616</v>
      </c>
      <c r="K36" s="52"/>
      <c r="L36" s="52"/>
      <c r="M36" s="8"/>
      <c r="N36" s="3"/>
      <c r="O36" s="3">
        <f>Data_05Ch[[#This Row],[A_q]]</f>
        <v>299.1960258608637</v>
      </c>
      <c r="P36" s="3">
        <f ca="1">Data_05Ch[[#This Row],[A_T]]*$C$11</f>
        <v>311.79948148714118</v>
      </c>
      <c r="Q36" s="3" t="str">
        <f>Data_05Ch[[#This Row],[T / V]]</f>
        <v>Training</v>
      </c>
      <c r="R36" s="3">
        <f ca="1">ABS((Estimates_05Ch[[#This Row],[A_q predicted (b=0)]]-Estimates_05Ch[[#This Row],[A_q measured]])/Estimates_05Ch[[#This Row],[A_q measured]])*100</f>
        <v>4.2124408537894533</v>
      </c>
      <c r="V36"/>
      <c r="W36"/>
      <c r="X36"/>
      <c r="Y36"/>
      <c r="Z36"/>
      <c r="AA36"/>
    </row>
    <row r="37" spans="1:27" s="2" customFormat="1" x14ac:dyDescent="0.3">
      <c r="A37" s="3" t="s">
        <v>11</v>
      </c>
      <c r="B37" s="3">
        <v>170</v>
      </c>
      <c r="C37" s="3" t="s">
        <v>10</v>
      </c>
      <c r="D37" s="3">
        <v>0.5</v>
      </c>
      <c r="E37" s="3">
        <v>1</v>
      </c>
      <c r="F37" s="3">
        <v>12.236660066643104</v>
      </c>
      <c r="G37" s="3">
        <v>246.42412532412126</v>
      </c>
      <c r="H37" s="3">
        <v>20.138185091524168</v>
      </c>
      <c r="I37" s="3" t="str">
        <f>IF(ROWS($I$22:I37)&lt;=n_T,"Training","Validation")</f>
        <v>Training</v>
      </c>
      <c r="J37" s="3">
        <f t="shared" ca="1" si="0"/>
        <v>0.43546386406937332</v>
      </c>
      <c r="K37" s="52"/>
      <c r="L37" s="52"/>
      <c r="M37" s="8"/>
      <c r="N37" s="3"/>
      <c r="O37" s="3">
        <f>Data_05Ch[[#This Row],[A_q]]</f>
        <v>246.42412532412126</v>
      </c>
      <c r="P37" s="3">
        <f ca="1">Data_05Ch[[#This Row],[A_T]]*$C$11</f>
        <v>256.03756317422722</v>
      </c>
      <c r="Q37" s="3" t="str">
        <f>Data_05Ch[[#This Row],[T / V]]</f>
        <v>Training</v>
      </c>
      <c r="R37" s="3">
        <f ca="1">ABS((Estimates_05Ch[[#This Row],[A_q predicted (b=0)]]-Estimates_05Ch[[#This Row],[A_q measured]])/Estimates_05Ch[[#This Row],[A_q measured]])*100</f>
        <v>3.901175600181765</v>
      </c>
      <c r="V37"/>
      <c r="W37"/>
      <c r="X37"/>
      <c r="Y37"/>
      <c r="Z37"/>
      <c r="AA37"/>
    </row>
    <row r="38" spans="1:27" s="2" customFormat="1" x14ac:dyDescent="0.3">
      <c r="A38" s="3" t="s">
        <v>11</v>
      </c>
      <c r="B38" s="3">
        <v>170</v>
      </c>
      <c r="C38" s="3" t="s">
        <v>9</v>
      </c>
      <c r="D38" s="3">
        <v>0.5</v>
      </c>
      <c r="E38" s="3">
        <v>2</v>
      </c>
      <c r="F38" s="3">
        <v>11.776659612500808</v>
      </c>
      <c r="G38" s="3">
        <v>233.47361453749977</v>
      </c>
      <c r="H38" s="3">
        <v>19.825113590756231</v>
      </c>
      <c r="I38" s="3" t="str">
        <f>IF(ROWS($I$22:I38)&lt;=n_T,"Training","Validation")</f>
        <v>Training</v>
      </c>
      <c r="J38" s="3">
        <f t="shared" ca="1" si="0"/>
        <v>0.66102693646414412</v>
      </c>
      <c r="K38" s="52"/>
      <c r="L38" s="52"/>
      <c r="M38" s="8"/>
      <c r="N38" s="3"/>
      <c r="O38" s="3">
        <f>Data_05Ch[[#This Row],[A_q]]</f>
        <v>233.47361453749977</v>
      </c>
      <c r="P38" s="3">
        <f ca="1">Data_05Ch[[#This Row],[A_T]]*$C$11</f>
        <v>246.41260058670792</v>
      </c>
      <c r="Q38" s="3" t="str">
        <f>Data_05Ch[[#This Row],[T / V]]</f>
        <v>Training</v>
      </c>
      <c r="R38" s="3">
        <f ca="1">ABS((Estimates_05Ch[[#This Row],[A_q predicted (b=0)]]-Estimates_05Ch[[#This Row],[A_q measured]])/Estimates_05Ch[[#This Row],[A_q measured]])*100</f>
        <v>5.5419478877044313</v>
      </c>
      <c r="V38"/>
      <c r="W38"/>
      <c r="X38"/>
      <c r="Y38"/>
      <c r="Z38"/>
      <c r="AA38"/>
    </row>
    <row r="39" spans="1:27" s="2" customFormat="1" x14ac:dyDescent="0.3">
      <c r="A39" s="3" t="s">
        <v>37</v>
      </c>
      <c r="B39" s="3">
        <v>170</v>
      </c>
      <c r="C39" s="3" t="s">
        <v>9</v>
      </c>
      <c r="D39" s="3">
        <v>0.5</v>
      </c>
      <c r="E39" s="3">
        <v>2</v>
      </c>
      <c r="F39" s="3">
        <v>18.948021681361002</v>
      </c>
      <c r="G39" s="3">
        <v>412.39364114077745</v>
      </c>
      <c r="H39" s="3">
        <v>21.764469561824775</v>
      </c>
      <c r="I39" s="3" t="str">
        <f>IF(ROWS($I$22:I39)&lt;=n_T,"Training","Validation")</f>
        <v>Training</v>
      </c>
      <c r="J39" s="3">
        <f t="shared" ca="1" si="0"/>
        <v>2.2391391704886465E-2</v>
      </c>
      <c r="K39" s="52"/>
      <c r="L39" s="52"/>
      <c r="M39" s="8"/>
      <c r="N39" s="3"/>
      <c r="O39" s="3">
        <f>Data_05Ch[[#This Row],[A_q]]</f>
        <v>412.39364114077745</v>
      </c>
      <c r="P39" s="3">
        <f ca="1">Data_05Ch[[#This Row],[A_T]]*$C$11</f>
        <v>396.46482551990891</v>
      </c>
      <c r="Q39" s="3" t="str">
        <f>Data_05Ch[[#This Row],[T / V]]</f>
        <v>Training</v>
      </c>
      <c r="R39" s="3">
        <f ca="1">ABS((Estimates_05Ch[[#This Row],[A_q predicted (b=0)]]-Estimates_05Ch[[#This Row],[A_q measured]])/Estimates_05Ch[[#This Row],[A_q measured]])*100</f>
        <v>3.862526972240818</v>
      </c>
      <c r="V39"/>
      <c r="W39"/>
      <c r="X39"/>
      <c r="Y39"/>
      <c r="Z39"/>
      <c r="AA39"/>
    </row>
    <row r="40" spans="1:27" s="2" customFormat="1" x14ac:dyDescent="0.3">
      <c r="A40" s="3" t="s">
        <v>12</v>
      </c>
      <c r="B40" s="3">
        <v>170</v>
      </c>
      <c r="C40" s="3" t="s">
        <v>9</v>
      </c>
      <c r="D40" s="3">
        <v>0.5</v>
      </c>
      <c r="E40" s="3">
        <v>1</v>
      </c>
      <c r="F40" s="3">
        <v>14.747651848983457</v>
      </c>
      <c r="G40" s="3">
        <v>292.58543252599304</v>
      </c>
      <c r="H40" s="3">
        <v>19.839458886206398</v>
      </c>
      <c r="I40" s="3" t="str">
        <f>IF(ROWS($I$22:I40)&lt;=n_T,"Training","Validation")</f>
        <v>Training</v>
      </c>
      <c r="J40" s="3">
        <f t="shared" ca="1" si="0"/>
        <v>0.59627804186785727</v>
      </c>
      <c r="K40" s="52"/>
      <c r="L40" s="52"/>
      <c r="M40" s="8"/>
      <c r="N40" s="3"/>
      <c r="O40" s="3">
        <f>Data_05Ch[[#This Row],[A_q]]</f>
        <v>292.58543252599304</v>
      </c>
      <c r="P40" s="3">
        <f ca="1">Data_05Ch[[#This Row],[A_T]]*$C$11</f>
        <v>308.5770807876558</v>
      </c>
      <c r="Q40" s="3" t="str">
        <f>Data_05Ch[[#This Row],[T / V]]</f>
        <v>Training</v>
      </c>
      <c r="R40" s="3">
        <f ca="1">ABS((Estimates_05Ch[[#This Row],[A_q predicted (b=0)]]-Estimates_05Ch[[#This Row],[A_q measured]])/Estimates_05Ch[[#This Row],[A_q measured]])*100</f>
        <v>5.4656337889419957</v>
      </c>
      <c r="V40"/>
      <c r="W40"/>
      <c r="X40"/>
      <c r="Y40"/>
      <c r="Z40"/>
      <c r="AA40"/>
    </row>
    <row r="41" spans="1:27" s="2" customFormat="1" x14ac:dyDescent="0.3">
      <c r="A41" s="3" t="s">
        <v>11</v>
      </c>
      <c r="B41" s="3">
        <v>170</v>
      </c>
      <c r="C41" s="3" t="s">
        <v>10</v>
      </c>
      <c r="D41" s="3">
        <v>0.5</v>
      </c>
      <c r="E41" s="3">
        <v>2</v>
      </c>
      <c r="F41" s="3">
        <v>12.778499999994182</v>
      </c>
      <c r="G41" s="3">
        <v>247.45169999999919</v>
      </c>
      <c r="H41" s="3">
        <v>19.364690691404459</v>
      </c>
      <c r="I41" s="3" t="str">
        <f>IF(ROWS($I$22:I41)&lt;=n_T,"Training","Validation")</f>
        <v>Training</v>
      </c>
      <c r="J41" s="3">
        <f t="shared" ca="1" si="0"/>
        <v>0.1765908809853145</v>
      </c>
      <c r="K41" s="52"/>
      <c r="L41" s="52"/>
      <c r="M41" s="8"/>
      <c r="N41" s="3"/>
      <c r="O41" s="3">
        <f>Data_05Ch[[#This Row],[A_q]]</f>
        <v>247.45169999999919</v>
      </c>
      <c r="P41" s="3">
        <f ca="1">Data_05Ch[[#This Row],[A_T]]*$C$11</f>
        <v>267.37491956152076</v>
      </c>
      <c r="Q41" s="3" t="str">
        <f>Data_05Ch[[#This Row],[T / V]]</f>
        <v>Training</v>
      </c>
      <c r="R41" s="3">
        <f ca="1">ABS((Estimates_05Ch[[#This Row],[A_q predicted (b=0)]]-Estimates_05Ch[[#This Row],[A_q measured]])/Estimates_05Ch[[#This Row],[A_q measured]])*100</f>
        <v>8.0513569159240497</v>
      </c>
      <c r="V41"/>
      <c r="W41"/>
      <c r="X41"/>
      <c r="Y41"/>
      <c r="Z41"/>
      <c r="AA41"/>
    </row>
    <row r="42" spans="1:27" s="2" customFormat="1" x14ac:dyDescent="0.3">
      <c r="A42" s="3" t="s">
        <v>12</v>
      </c>
      <c r="B42" s="3">
        <v>170</v>
      </c>
      <c r="C42" s="3" t="s">
        <v>10</v>
      </c>
      <c r="D42" s="3">
        <v>0.5</v>
      </c>
      <c r="E42" s="3">
        <v>2</v>
      </c>
      <c r="F42" s="3">
        <v>11.275199999993378</v>
      </c>
      <c r="G42" s="3">
        <v>242.68199999999433</v>
      </c>
      <c r="H42" s="3">
        <v>21.523520647096007</v>
      </c>
      <c r="I42" s="3" t="str">
        <f>IF(ROWS($I$22:I42)&lt;=n_T,"Training","Validation")</f>
        <v>Training</v>
      </c>
      <c r="J42" s="3">
        <f t="shared" ca="1" si="0"/>
        <v>9.0850663484197236E-2</v>
      </c>
      <c r="K42" s="52"/>
      <c r="L42" s="52"/>
      <c r="M42" s="8"/>
      <c r="N42" s="3"/>
      <c r="O42" s="3">
        <f>Data_05Ch[[#This Row],[A_q]]</f>
        <v>242.68199999999433</v>
      </c>
      <c r="P42" s="3">
        <f ca="1">Data_05Ch[[#This Row],[A_T]]*$C$11</f>
        <v>235.92015440307242</v>
      </c>
      <c r="Q42" s="3" t="str">
        <f>Data_05Ch[[#This Row],[T / V]]</f>
        <v>Training</v>
      </c>
      <c r="R42" s="3">
        <f ca="1">ABS((Estimates_05Ch[[#This Row],[A_q predicted (b=0)]]-Estimates_05Ch[[#This Row],[A_q measured]])/Estimates_05Ch[[#This Row],[A_q measured]])*100</f>
        <v>2.786298776556182</v>
      </c>
      <c r="V42"/>
      <c r="W42"/>
      <c r="X42"/>
      <c r="Y42"/>
      <c r="Z42"/>
      <c r="AA42"/>
    </row>
    <row r="43" spans="1:27" s="2" customFormat="1" x14ac:dyDescent="0.3">
      <c r="A43" s="3" t="s">
        <v>38</v>
      </c>
      <c r="B43" s="3">
        <v>230</v>
      </c>
      <c r="C43" s="3" t="s">
        <v>10</v>
      </c>
      <c r="D43" s="3">
        <v>0.5</v>
      </c>
      <c r="E43" s="3">
        <v>1</v>
      </c>
      <c r="F43" s="3">
        <v>22.067685978047887</v>
      </c>
      <c r="G43" s="3">
        <v>530.44121365596561</v>
      </c>
      <c r="H43" s="3">
        <v>24.037011138532094</v>
      </c>
      <c r="I43" s="3" t="str">
        <f>IF(ROWS($I$22:I43)&lt;=n_T,"Training","Validation")</f>
        <v>Validation</v>
      </c>
      <c r="J43" s="3">
        <f t="shared" ca="1" si="0"/>
        <v>0.22225788134819002</v>
      </c>
      <c r="K43" s="52"/>
      <c r="L43" s="52"/>
      <c r="M43" s="8"/>
      <c r="N43" s="3"/>
      <c r="O43" s="3">
        <f>Data_05Ch[[#This Row],[A_q]]</f>
        <v>530.44121365596561</v>
      </c>
      <c r="P43" s="3">
        <f ca="1">Data_05Ch[[#This Row],[A_T]]*$C$11</f>
        <v>461.74009181767343</v>
      </c>
      <c r="Q43" s="3" t="str">
        <f>Data_05Ch[[#This Row],[T / V]]</f>
        <v>Validation</v>
      </c>
      <c r="R43" s="3">
        <f ca="1">ABS((Estimates_05Ch[[#This Row],[A_q predicted (b=0)]]-Estimates_05Ch[[#This Row],[A_q measured]])/Estimates_05Ch[[#This Row],[A_q measured]])*100</f>
        <v>12.951693810664278</v>
      </c>
      <c r="V43"/>
      <c r="W43"/>
      <c r="X43"/>
      <c r="Y43"/>
      <c r="Z43"/>
      <c r="AA43"/>
    </row>
    <row r="44" spans="1:27" s="2" customFormat="1" x14ac:dyDescent="0.3">
      <c r="A44" s="3" t="s">
        <v>38</v>
      </c>
      <c r="B44" s="3">
        <v>230</v>
      </c>
      <c r="C44" s="3" t="s">
        <v>10</v>
      </c>
      <c r="D44" s="3">
        <v>0.5</v>
      </c>
      <c r="E44" s="3">
        <v>2</v>
      </c>
      <c r="F44" s="3">
        <v>22.836000000008426</v>
      </c>
      <c r="G44" s="3">
        <v>554.20560000000489</v>
      </c>
      <c r="H44" s="3">
        <v>24.268943772981274</v>
      </c>
      <c r="I44" s="3" t="str">
        <f>IF(ROWS($I$22:I44)&lt;=n_T,"Training","Validation")</f>
        <v>Validation</v>
      </c>
      <c r="J44" s="3">
        <f t="shared" ca="1" si="0"/>
        <v>4.3624641851917612E-2</v>
      </c>
      <c r="K44" s="52"/>
      <c r="L44" s="52"/>
      <c r="M44" s="8"/>
      <c r="N44" s="3"/>
      <c r="O44" s="3">
        <f>Data_05Ch[[#This Row],[A_q]]</f>
        <v>554.20560000000489</v>
      </c>
      <c r="P44" s="3">
        <f ca="1">Data_05Ch[[#This Row],[A_T]]*$C$11</f>
        <v>477.81614924380176</v>
      </c>
      <c r="Q44" s="3" t="str">
        <f>Data_05Ch[[#This Row],[T / V]]</f>
        <v>Validation</v>
      </c>
      <c r="R44" s="3">
        <f ca="1">ABS((Estimates_05Ch[[#This Row],[A_q predicted (b=0)]]-Estimates_05Ch[[#This Row],[A_q measured]])/Estimates_05Ch[[#This Row],[A_q measured]])*100</f>
        <v>13.783594167255339</v>
      </c>
      <c r="V44"/>
      <c r="W44"/>
      <c r="X44"/>
      <c r="Y44"/>
      <c r="Z44"/>
      <c r="AA44"/>
    </row>
    <row r="45" spans="1:27" s="2" customFormat="1" x14ac:dyDescent="0.3">
      <c r="A45" s="3" t="s">
        <v>8</v>
      </c>
      <c r="B45" s="3">
        <v>170</v>
      </c>
      <c r="C45" s="3" t="s">
        <v>10</v>
      </c>
      <c r="D45" s="3">
        <v>0.5</v>
      </c>
      <c r="E45" s="3">
        <v>1</v>
      </c>
      <c r="F45" s="3">
        <v>8.0972999999946342</v>
      </c>
      <c r="G45" s="3">
        <v>166.90619999999905</v>
      </c>
      <c r="H45" s="3">
        <v>20.612574561904541</v>
      </c>
      <c r="I45" s="3" t="str">
        <f>IF(ROWS($I$22:I45)&lt;=n_T,"Training","Validation")</f>
        <v>Validation</v>
      </c>
      <c r="J45" s="3">
        <f t="shared" ca="1" si="0"/>
        <v>0.6513989064314385</v>
      </c>
      <c r="K45" s="52"/>
      <c r="L45" s="52"/>
      <c r="M45" s="8"/>
      <c r="N45" s="3"/>
      <c r="O45" s="3">
        <f>Data_05Ch[[#This Row],[A_q]]</f>
        <v>166.90619999999905</v>
      </c>
      <c r="P45" s="3">
        <f ca="1">Data_05Ch[[#This Row],[A_T]]*$C$11</f>
        <v>169.42637525257683</v>
      </c>
      <c r="Q45" s="3" t="str">
        <f>Data_05Ch[[#This Row],[T / V]]</f>
        <v>Validation</v>
      </c>
      <c r="R45" s="3">
        <f ca="1">ABS((Estimates_05Ch[[#This Row],[A_q predicted (b=0)]]-Estimates_05Ch[[#This Row],[A_q measured]])/Estimates_05Ch[[#This Row],[A_q measured]])*100</f>
        <v>1.5099350728599661</v>
      </c>
      <c r="V45"/>
      <c r="W45"/>
      <c r="X45"/>
      <c r="Y45"/>
      <c r="Z45"/>
      <c r="AA45"/>
    </row>
    <row r="46" spans="1:27" s="2" customFormat="1" x14ac:dyDescent="0.3">
      <c r="A46" s="3" t="s">
        <v>11</v>
      </c>
      <c r="B46" s="3">
        <v>170</v>
      </c>
      <c r="C46" s="3" t="s">
        <v>10</v>
      </c>
      <c r="D46" s="3">
        <v>0.5</v>
      </c>
      <c r="E46" s="3">
        <v>3</v>
      </c>
      <c r="F46" s="3">
        <v>13.394999999995163</v>
      </c>
      <c r="G46" s="3">
        <v>240.30809999999769</v>
      </c>
      <c r="H46" s="3">
        <v>17.940134378505746</v>
      </c>
      <c r="I46" s="3" t="str">
        <f>IF(ROWS($I$22:I46)&lt;=n_T,"Training","Validation")</f>
        <v>Validation</v>
      </c>
      <c r="J46" s="3">
        <f t="shared" ca="1" si="0"/>
        <v>0.77212975076514889</v>
      </c>
      <c r="K46" s="52"/>
      <c r="L46" s="52"/>
      <c r="M46" s="8"/>
      <c r="N46" s="3"/>
      <c r="O46" s="3">
        <f>Data_05Ch[[#This Row],[A_q]]</f>
        <v>240.30809999999769</v>
      </c>
      <c r="P46" s="3">
        <f ca="1">Data_05Ch[[#This Row],[A_T]]*$C$11</f>
        <v>280.27444907672322</v>
      </c>
      <c r="Q46" s="3" t="str">
        <f>Data_05Ch[[#This Row],[T / V]]</f>
        <v>Validation</v>
      </c>
      <c r="R46" s="3">
        <f ca="1">ABS((Estimates_05Ch[[#This Row],[A_q predicted (b=0)]]-Estimates_05Ch[[#This Row],[A_q measured]])/Estimates_05Ch[[#This Row],[A_q measured]])*100</f>
        <v>16.631295023649184</v>
      </c>
      <c r="V46"/>
      <c r="W46"/>
      <c r="X46"/>
      <c r="Y46"/>
      <c r="Z46"/>
      <c r="AA46"/>
    </row>
    <row r="47" spans="1:27" s="2" customFormat="1" x14ac:dyDescent="0.3">
      <c r="A47" s="3" t="s">
        <v>38</v>
      </c>
      <c r="B47" s="3">
        <v>230</v>
      </c>
      <c r="C47" s="3" t="s">
        <v>9</v>
      </c>
      <c r="D47" s="3">
        <v>0.5</v>
      </c>
      <c r="E47" s="3">
        <v>3</v>
      </c>
      <c r="F47" s="3">
        <v>24.450227664</v>
      </c>
      <c r="G47" s="3">
        <v>552.97144175999995</v>
      </c>
      <c r="H47" s="3">
        <v>22.6162083</v>
      </c>
      <c r="I47" s="3" t="str">
        <f>IF(ROWS($I$22:I47)&lt;=n_T,"Training","Validation")</f>
        <v>Validation</v>
      </c>
      <c r="J47" s="3">
        <f t="shared" ca="1" si="0"/>
        <v>0.28496924644295518</v>
      </c>
      <c r="K47" s="52"/>
      <c r="L47" s="52"/>
      <c r="M47" s="8"/>
      <c r="N47" s="3"/>
      <c r="O47" s="3">
        <f>Data_05Ch[[#This Row],[A_q]]</f>
        <v>552.97144175999995</v>
      </c>
      <c r="P47" s="3">
        <f ca="1">Data_05Ch[[#This Row],[A_T]]*$C$11</f>
        <v>511.59194388432491</v>
      </c>
      <c r="Q47" s="3" t="str">
        <f>Data_05Ch[[#This Row],[T / V]]</f>
        <v>Validation</v>
      </c>
      <c r="R47" s="3">
        <f ca="1">ABS((Estimates_05Ch[[#This Row],[A_q predicted (b=0)]]-Estimates_05Ch[[#This Row],[A_q measured]])/Estimates_05Ch[[#This Row],[A_q measured]])*100</f>
        <v>7.4831166224375343</v>
      </c>
      <c r="V47"/>
      <c r="W47"/>
      <c r="X47"/>
      <c r="Y47"/>
      <c r="Z47"/>
      <c r="AA47"/>
    </row>
    <row r="48" spans="1:27" s="2" customFormat="1" x14ac:dyDescent="0.3">
      <c r="A48" s="3" t="s">
        <v>38</v>
      </c>
      <c r="B48" s="3">
        <v>230</v>
      </c>
      <c r="C48" s="3" t="s">
        <v>10</v>
      </c>
      <c r="D48" s="3">
        <v>0.5</v>
      </c>
      <c r="E48" s="3">
        <v>3</v>
      </c>
      <c r="F48" s="3">
        <v>22.421999999999997</v>
      </c>
      <c r="G48" s="3">
        <v>526.93979999999999</v>
      </c>
      <c r="H48" s="3">
        <v>23.50101686</v>
      </c>
      <c r="I48" s="3" t="str">
        <f>IF(ROWS($I$22:I48)&lt;=n_T,"Training","Validation")</f>
        <v>Validation</v>
      </c>
      <c r="J48" s="3">
        <f t="shared" ca="1" si="0"/>
        <v>0.86709526068148501</v>
      </c>
      <c r="K48" s="52"/>
      <c r="L48" s="52"/>
      <c r="M48" s="8"/>
      <c r="N48" s="3"/>
      <c r="O48" s="3">
        <f>Data_05Ch[[#This Row],[A_q]]</f>
        <v>526.93979999999999</v>
      </c>
      <c r="P48" s="3">
        <f ca="1">Data_05Ch[[#This Row],[A_T]]*$C$11</f>
        <v>469.15369146700687</v>
      </c>
      <c r="Q48" s="3" t="str">
        <f>Data_05Ch[[#This Row],[T / V]]</f>
        <v>Validation</v>
      </c>
      <c r="R48" s="3">
        <f ca="1">ABS((Estimates_05Ch[[#This Row],[A_q predicted (b=0)]]-Estimates_05Ch[[#This Row],[A_q measured]])/Estimates_05Ch[[#This Row],[A_q measured]])*100</f>
        <v>10.966358687082115</v>
      </c>
      <c r="V48"/>
      <c r="W48"/>
      <c r="X48"/>
      <c r="Y48"/>
      <c r="Z48"/>
      <c r="AA48"/>
    </row>
    <row r="49" spans="1:27" s="2" customFormat="1" x14ac:dyDescent="0.3">
      <c r="A49" s="3" t="s">
        <v>37</v>
      </c>
      <c r="B49" s="3">
        <v>170</v>
      </c>
      <c r="C49" s="3" t="s">
        <v>10</v>
      </c>
      <c r="D49" s="3">
        <v>0.5</v>
      </c>
      <c r="E49" s="3">
        <v>3</v>
      </c>
      <c r="F49" s="3">
        <v>15.294906027162749</v>
      </c>
      <c r="G49" s="3">
        <v>318.35937208508204</v>
      </c>
      <c r="H49" s="3">
        <v>20.814732141518011</v>
      </c>
      <c r="I49" s="3" t="str">
        <f>IF(ROWS($I$22:I49)&lt;=n_T,"Training","Validation")</f>
        <v>Validation</v>
      </c>
      <c r="J49" s="3">
        <f t="shared" ca="1" si="0"/>
        <v>0.1289364260713679</v>
      </c>
      <c r="K49" s="52"/>
      <c r="L49" s="52"/>
      <c r="M49" s="8"/>
      <c r="N49" s="3"/>
      <c r="O49" s="3">
        <f>Data_05Ch[[#This Row],[A_q]]</f>
        <v>318.35937208508204</v>
      </c>
      <c r="P49" s="3">
        <f ca="1">Data_05Ch[[#This Row],[A_T]]*$C$11</f>
        <v>320.02772381073845</v>
      </c>
      <c r="Q49" s="3" t="str">
        <f>Data_05Ch[[#This Row],[T / V]]</f>
        <v>Validation</v>
      </c>
      <c r="R49" s="3">
        <f ca="1">ABS((Estimates_05Ch[[#This Row],[A_q predicted (b=0)]]-Estimates_05Ch[[#This Row],[A_q measured]])/Estimates_05Ch[[#This Row],[A_q measured]])*100</f>
        <v>0.52404668181420389</v>
      </c>
      <c r="V49"/>
      <c r="W49"/>
      <c r="X49"/>
      <c r="Y49"/>
      <c r="Z49"/>
      <c r="AA49"/>
    </row>
    <row r="50" spans="1:27" s="2" customFormat="1" x14ac:dyDescent="0.3">
      <c r="A50" s="3" t="s">
        <v>12</v>
      </c>
      <c r="B50" s="3">
        <v>170</v>
      </c>
      <c r="C50" s="3" t="s">
        <v>9</v>
      </c>
      <c r="D50" s="3">
        <v>0.5</v>
      </c>
      <c r="E50" s="3">
        <v>2</v>
      </c>
      <c r="F50" s="3">
        <v>17.790648849835058</v>
      </c>
      <c r="G50" s="3">
        <v>369.31674307917132</v>
      </c>
      <c r="H50" s="3">
        <v>20.759037300800603</v>
      </c>
      <c r="I50" s="3" t="str">
        <f>IF(ROWS($I$22:I50)&lt;=n_T,"Training","Validation")</f>
        <v>Validation</v>
      </c>
      <c r="J50" s="3">
        <f t="shared" ca="1" si="0"/>
        <v>0.64350642715137751</v>
      </c>
      <c r="K50" s="52"/>
      <c r="L50" s="52"/>
      <c r="M50" s="8"/>
      <c r="N50" s="3"/>
      <c r="O50" s="3">
        <f>Data_05Ch[[#This Row],[A_q]]</f>
        <v>369.31674307917132</v>
      </c>
      <c r="P50" s="3">
        <f ca="1">Data_05Ch[[#This Row],[A_T]]*$C$11</f>
        <v>372.24817507329311</v>
      </c>
      <c r="Q50" s="3" t="str">
        <f>Data_05Ch[[#This Row],[T / V]]</f>
        <v>Validation</v>
      </c>
      <c r="R50" s="3">
        <f ca="1">ABS((Estimates_05Ch[[#This Row],[A_q predicted (b=0)]]-Estimates_05Ch[[#This Row],[A_q measured]])/Estimates_05Ch[[#This Row],[A_q measured]])*100</f>
        <v>0.79374467826208905</v>
      </c>
      <c r="V50"/>
      <c r="W50"/>
      <c r="X50"/>
      <c r="Y50"/>
      <c r="Z50"/>
      <c r="AA50"/>
    </row>
    <row r="51" spans="1:27" s="2" customFormat="1" x14ac:dyDescent="0.3">
      <c r="A51" s="3" t="s">
        <v>8</v>
      </c>
      <c r="B51" s="3">
        <v>170</v>
      </c>
      <c r="C51" s="3" t="s">
        <v>9</v>
      </c>
      <c r="D51" s="3">
        <v>0.5</v>
      </c>
      <c r="E51" s="3">
        <v>3</v>
      </c>
      <c r="F51" s="3">
        <v>7.7242423058830347</v>
      </c>
      <c r="G51" s="3">
        <v>178.55986063999981</v>
      </c>
      <c r="H51" s="3">
        <v>23.116812441785104</v>
      </c>
      <c r="I51" s="3" t="str">
        <f>IF(ROWS($I$22:I51)&lt;=n_T,"Training","Validation")</f>
        <v>Validation</v>
      </c>
      <c r="J51" s="3">
        <f t="shared" ca="1" si="0"/>
        <v>0.2522640824073884</v>
      </c>
      <c r="K51" s="52"/>
      <c r="L51" s="52"/>
      <c r="M51" s="8"/>
      <c r="N51" s="3"/>
      <c r="O51" s="3">
        <f>Data_05Ch[[#This Row],[A_q]]</f>
        <v>178.55986063999981</v>
      </c>
      <c r="P51" s="3">
        <f ca="1">Data_05Ch[[#This Row],[A_T]]*$C$11</f>
        <v>161.62058654850821</v>
      </c>
      <c r="Q51" s="3" t="str">
        <f>Data_05Ch[[#This Row],[T / V]]</f>
        <v>Validation</v>
      </c>
      <c r="R51" s="3">
        <f ca="1">ABS((Estimates_05Ch[[#This Row],[A_q predicted (b=0)]]-Estimates_05Ch[[#This Row],[A_q measured]])/Estimates_05Ch[[#This Row],[A_q measured]])*100</f>
        <v>9.4866080376504129</v>
      </c>
      <c r="V51"/>
      <c r="W51"/>
      <c r="X51"/>
      <c r="Y51"/>
      <c r="Z51"/>
      <c r="AA51"/>
    </row>
    <row r="52" spans="1:27" s="2" customForma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52"/>
      <c r="L52" s="52"/>
      <c r="M52" s="8"/>
      <c r="N52" s="3"/>
      <c r="O52" s="3"/>
      <c r="P52" s="3"/>
      <c r="Q52" s="3"/>
      <c r="R52" s="3"/>
      <c r="V52"/>
      <c r="W52"/>
      <c r="X52"/>
      <c r="Y52"/>
      <c r="Z52"/>
      <c r="AA52"/>
    </row>
    <row r="53" spans="1:27" s="2" customForma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52"/>
      <c r="L53" s="52"/>
      <c r="M53" s="8"/>
      <c r="N53" s="3"/>
      <c r="O53" s="3"/>
      <c r="P53" s="3"/>
      <c r="Q53" s="3"/>
      <c r="R53" s="3"/>
      <c r="V53"/>
      <c r="W53"/>
      <c r="X53"/>
      <c r="Y53"/>
      <c r="Z53"/>
      <c r="AA53"/>
    </row>
    <row r="54" spans="1:27" s="2" customForma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52"/>
      <c r="L54" s="52"/>
      <c r="M54" s="8"/>
      <c r="N54" s="3"/>
      <c r="O54" s="3"/>
      <c r="P54" s="3"/>
      <c r="Q54" s="3"/>
      <c r="R54" s="3"/>
      <c r="V54"/>
      <c r="W54"/>
      <c r="X54"/>
      <c r="Y54"/>
      <c r="Z54"/>
      <c r="AA54"/>
    </row>
    <row r="55" spans="1:27" s="2" customFormat="1" x14ac:dyDescent="0.3">
      <c r="A55" s="55" t="str" cm="1">
        <f t="array" aca="1" ref="A55:J75" ca="1">_xlfn._xlws.FILTER(Data_05Ch[],Data_05Ch[T / V]="Training")</f>
        <v>RT18</v>
      </c>
      <c r="B55" s="65">
        <f ca="1"/>
        <v>230</v>
      </c>
      <c r="C55" s="65" t="str">
        <f ca="1"/>
        <v>Solidification</v>
      </c>
      <c r="D55" s="65">
        <f ca="1"/>
        <v>0.5</v>
      </c>
      <c r="E55" s="65">
        <f ca="1"/>
        <v>2</v>
      </c>
      <c r="F55" s="65">
        <f ca="1"/>
        <v>23.56542752499842</v>
      </c>
      <c r="G55" s="65">
        <f ca="1"/>
        <v>527.0688230324987</v>
      </c>
      <c r="H55" s="65">
        <f ca="1"/>
        <v>22.366189727446248</v>
      </c>
      <c r="I55" s="65" t="str">
        <f ca="1"/>
        <v>Training</v>
      </c>
      <c r="J55" s="66">
        <f ca="1"/>
        <v>9.8108230884418224E-2</v>
      </c>
      <c r="K55" s="21">
        <f t="shared" ref="K55:K75" ca="1" si="1">G55-$C$11*F55</f>
        <v>33.990270077756861</v>
      </c>
      <c r="L55" s="21">
        <f t="shared" ref="L55:L75" ca="1" si="2">G55-AVERAGE($G$55:$G$76)</f>
        <v>236.97556104245871</v>
      </c>
      <c r="M55" s="54"/>
      <c r="N55" s="53"/>
      <c r="O55" s="55" cm="1">
        <f t="array" aca="1" ref="O55:R75" ca="1">_xlfn._xlws.FILTER(Estimates_05Ch[],Estimates_05Ch[T / V]="Training")</f>
        <v>527.0688230324987</v>
      </c>
      <c r="P55" s="65">
        <f ca="1"/>
        <v>493.07855295474184</v>
      </c>
      <c r="Q55" s="65" t="str">
        <f ca="1"/>
        <v>Training</v>
      </c>
      <c r="R55" s="66">
        <f ca="1"/>
        <v>6.4489244274008302</v>
      </c>
      <c r="V55"/>
      <c r="W55"/>
      <c r="X55"/>
      <c r="Y55"/>
      <c r="Z55"/>
      <c r="AA55"/>
    </row>
    <row r="56" spans="1:27" s="2" customFormat="1" x14ac:dyDescent="0.3">
      <c r="A56" s="67" t="str">
        <f ca="1"/>
        <v>RT18</v>
      </c>
      <c r="B56" s="53">
        <f ca="1"/>
        <v>230</v>
      </c>
      <c r="C56" s="53" t="str">
        <f ca="1"/>
        <v>Solidification</v>
      </c>
      <c r="D56" s="53">
        <f ca="1"/>
        <v>0.5</v>
      </c>
      <c r="E56" s="53">
        <f ca="1"/>
        <v>1</v>
      </c>
      <c r="F56" s="53">
        <f ca="1"/>
        <v>25.133748384813632</v>
      </c>
      <c r="G56" s="53">
        <f ca="1"/>
        <v>559.05236689916728</v>
      </c>
      <c r="H56" s="53">
        <f ca="1"/>
        <v>22.243095551834166</v>
      </c>
      <c r="I56" s="53" t="str">
        <f ca="1"/>
        <v>Training</v>
      </c>
      <c r="J56" s="68">
        <f ca="1"/>
        <v>0.96965122649361701</v>
      </c>
      <c r="K56" s="21">
        <f t="shared" ca="1" si="1"/>
        <v>33.158564600610589</v>
      </c>
      <c r="L56" s="21">
        <f t="shared" ca="1" si="2"/>
        <v>268.95910490912729</v>
      </c>
      <c r="M56" s="54"/>
      <c r="N56" s="53"/>
      <c r="O56" s="67">
        <f ca="1"/>
        <v>559.05236689916728</v>
      </c>
      <c r="P56" s="53">
        <f ca="1"/>
        <v>525.89380229855669</v>
      </c>
      <c r="Q56" s="53" t="str">
        <f ca="1"/>
        <v>Training</v>
      </c>
      <c r="R56" s="68">
        <f ca="1"/>
        <v>5.9312090537291633</v>
      </c>
      <c r="V56"/>
      <c r="W56"/>
      <c r="X56"/>
      <c r="Y56"/>
      <c r="Z56"/>
      <c r="AA56"/>
    </row>
    <row r="57" spans="1:27" s="2" customFormat="1" x14ac:dyDescent="0.3">
      <c r="A57" s="67" t="str">
        <f ca="1"/>
        <v>RT8 (15mm)</v>
      </c>
      <c r="B57" s="53">
        <f ca="1"/>
        <v>170</v>
      </c>
      <c r="C57" s="53" t="str">
        <f ca="1"/>
        <v>Melting</v>
      </c>
      <c r="D57" s="53">
        <f ca="1"/>
        <v>0.5</v>
      </c>
      <c r="E57" s="53">
        <f ca="1"/>
        <v>1</v>
      </c>
      <c r="F57" s="53">
        <f ca="1"/>
        <v>16.090530088193475</v>
      </c>
      <c r="G57" s="53">
        <f ca="1"/>
        <v>334.92233180419032</v>
      </c>
      <c r="H57" s="53">
        <f ca="1"/>
        <v>20.814872472718701</v>
      </c>
      <c r="I57" s="53" t="str">
        <f ca="1"/>
        <v>Training</v>
      </c>
      <c r="J57" s="68">
        <f ca="1"/>
        <v>0.37518202360071284</v>
      </c>
      <c r="K57" s="21">
        <f t="shared" ca="1" si="1"/>
        <v>-1.7528795300757452</v>
      </c>
      <c r="L57" s="21">
        <f t="shared" ca="1" si="2"/>
        <v>44.82906981415033</v>
      </c>
      <c r="M57" s="54"/>
      <c r="N57" s="53"/>
      <c r="O57" s="67">
        <f ca="1"/>
        <v>334.92233180419032</v>
      </c>
      <c r="P57" s="53">
        <f ca="1"/>
        <v>336.67521133426607</v>
      </c>
      <c r="Q57" s="53" t="str">
        <f ca="1"/>
        <v>Training</v>
      </c>
      <c r="R57" s="68">
        <f ca="1"/>
        <v>0.52336896158377166</v>
      </c>
      <c r="V57"/>
      <c r="W57"/>
      <c r="X57"/>
      <c r="Y57"/>
      <c r="Z57"/>
      <c r="AA57"/>
    </row>
    <row r="58" spans="1:27" s="2" customFormat="1" x14ac:dyDescent="0.3">
      <c r="A58" s="67" t="str">
        <f ca="1"/>
        <v>RT24</v>
      </c>
      <c r="B58" s="53">
        <f ca="1"/>
        <v>170</v>
      </c>
      <c r="C58" s="53" t="str">
        <f ca="1"/>
        <v>Melting</v>
      </c>
      <c r="D58" s="53">
        <f ca="1"/>
        <v>0.5</v>
      </c>
      <c r="E58" s="53">
        <f ca="1"/>
        <v>1</v>
      </c>
      <c r="F58" s="53">
        <f ca="1"/>
        <v>10.128440696018268</v>
      </c>
      <c r="G58" s="53">
        <f ca="1"/>
        <v>212.52860331422897</v>
      </c>
      <c r="H58" s="53">
        <f ca="1"/>
        <v>20.983348739730392</v>
      </c>
      <c r="I58" s="53" t="str">
        <f ca="1"/>
        <v>Training</v>
      </c>
      <c r="J58" s="68">
        <f ca="1"/>
        <v>0.56283192635313939</v>
      </c>
      <c r="K58" s="21">
        <f t="shared" ca="1" si="1"/>
        <v>0.6030239126755248</v>
      </c>
      <c r="L58" s="21">
        <f t="shared" ca="1" si="2"/>
        <v>-77.564658675811017</v>
      </c>
      <c r="M58" s="54"/>
      <c r="N58" s="53"/>
      <c r="O58" s="67">
        <f ca="1"/>
        <v>212.52860331422897</v>
      </c>
      <c r="P58" s="53">
        <f ca="1"/>
        <v>211.92557940155345</v>
      </c>
      <c r="Q58" s="53" t="str">
        <f ca="1"/>
        <v>Training</v>
      </c>
      <c r="R58" s="68">
        <f ca="1"/>
        <v>0.28373776671554113</v>
      </c>
      <c r="V58"/>
      <c r="W58"/>
      <c r="X58"/>
      <c r="Y58"/>
      <c r="Z58"/>
      <c r="AA58"/>
    </row>
    <row r="59" spans="1:27" s="2" customFormat="1" x14ac:dyDescent="0.3">
      <c r="A59" s="67" t="str">
        <f ca="1"/>
        <v>RT8</v>
      </c>
      <c r="B59" s="53">
        <f ca="1"/>
        <v>170</v>
      </c>
      <c r="C59" s="53" t="str">
        <f ca="1"/>
        <v>Solidification</v>
      </c>
      <c r="D59" s="53">
        <f ca="1"/>
        <v>0.5</v>
      </c>
      <c r="E59" s="53">
        <f ca="1"/>
        <v>2</v>
      </c>
      <c r="F59" s="53">
        <f ca="1"/>
        <v>8.9898000000008071</v>
      </c>
      <c r="G59" s="53">
        <f ca="1"/>
        <v>184.20239999999984</v>
      </c>
      <c r="H59" s="53">
        <f ca="1"/>
        <v>20.490155509575661</v>
      </c>
      <c r="I59" s="53" t="str">
        <f ca="1"/>
        <v>Training</v>
      </c>
      <c r="J59" s="68">
        <f ca="1"/>
        <v>0.46823277429839028</v>
      </c>
      <c r="K59" s="21">
        <f t="shared" ca="1" si="1"/>
        <v>-3.8984766189671234</v>
      </c>
      <c r="L59" s="21">
        <f t="shared" ca="1" si="2"/>
        <v>-105.89086199004015</v>
      </c>
      <c r="M59" s="54"/>
      <c r="N59" s="53"/>
      <c r="O59" s="67">
        <f ca="1"/>
        <v>184.20239999999984</v>
      </c>
      <c r="P59" s="53">
        <f ca="1"/>
        <v>188.10087661896696</v>
      </c>
      <c r="Q59" s="53" t="str">
        <f ca="1"/>
        <v>Training</v>
      </c>
      <c r="R59" s="68">
        <f ca="1"/>
        <v>2.1164092427498917</v>
      </c>
      <c r="V59"/>
      <c r="W59"/>
      <c r="X59"/>
      <c r="Y59"/>
      <c r="Z59"/>
      <c r="AA59"/>
    </row>
    <row r="60" spans="1:27" s="2" customFormat="1" x14ac:dyDescent="0.3">
      <c r="A60" s="67" t="str">
        <f ca="1"/>
        <v>RT8 (15mm)</v>
      </c>
      <c r="B60" s="53">
        <f ca="1"/>
        <v>170</v>
      </c>
      <c r="C60" s="53" t="str">
        <f ca="1"/>
        <v>Solidification</v>
      </c>
      <c r="D60" s="53">
        <f ca="1"/>
        <v>0.5</v>
      </c>
      <c r="E60" s="53">
        <f ca="1"/>
        <v>3</v>
      </c>
      <c r="F60" s="53">
        <f ca="1"/>
        <v>16.33920000000073</v>
      </c>
      <c r="G60" s="53">
        <f ca="1"/>
        <v>353.55864367151293</v>
      </c>
      <c r="H60" s="53">
        <f ca="1"/>
        <v>21.63867531283644</v>
      </c>
      <c r="I60" s="53" t="str">
        <f ca="1"/>
        <v>Training</v>
      </c>
      <c r="J60" s="68">
        <f ca="1"/>
        <v>0.65501464264219322</v>
      </c>
      <c r="K60" s="21">
        <f t="shared" ca="1" si="1"/>
        <v>11.680310087619318</v>
      </c>
      <c r="L60" s="21">
        <f t="shared" ca="1" si="2"/>
        <v>63.465381681472934</v>
      </c>
      <c r="M60" s="54"/>
      <c r="N60" s="53"/>
      <c r="O60" s="67">
        <f ca="1"/>
        <v>353.55864367151293</v>
      </c>
      <c r="P60" s="53">
        <f ca="1"/>
        <v>341.87833358389361</v>
      </c>
      <c r="Q60" s="53" t="str">
        <f ca="1"/>
        <v>Training</v>
      </c>
      <c r="R60" s="68">
        <f ca="1"/>
        <v>3.3036415023900116</v>
      </c>
      <c r="V60"/>
      <c r="W60"/>
      <c r="X60"/>
      <c r="Y60"/>
      <c r="Z60"/>
      <c r="AA60"/>
    </row>
    <row r="61" spans="1:27" s="2" customFormat="1" x14ac:dyDescent="0.3">
      <c r="A61" s="67" t="str">
        <f ca="1"/>
        <v>RT8</v>
      </c>
      <c r="B61" s="53">
        <f ca="1"/>
        <v>170</v>
      </c>
      <c r="C61" s="53" t="str">
        <f ca="1"/>
        <v>Melting</v>
      </c>
      <c r="D61" s="53">
        <f ca="1"/>
        <v>0.5</v>
      </c>
      <c r="E61" s="53">
        <f ca="1"/>
        <v>3</v>
      </c>
      <c r="F61" s="53">
        <f ca="1"/>
        <v>6.6891725519443357</v>
      </c>
      <c r="G61" s="53">
        <f ca="1"/>
        <v>134.90327528622092</v>
      </c>
      <c r="H61" s="53">
        <f ca="1"/>
        <v>20.167408485674166</v>
      </c>
      <c r="I61" s="53" t="str">
        <f ca="1"/>
        <v>Training</v>
      </c>
      <c r="J61" s="68">
        <f ca="1"/>
        <v>3.5412334773004872E-2</v>
      </c>
      <c r="K61" s="21">
        <f t="shared" ca="1" si="1"/>
        <v>-5.0597073025072916</v>
      </c>
      <c r="L61" s="21">
        <f t="shared" ca="1" si="2"/>
        <v>-155.18998670381907</v>
      </c>
      <c r="M61" s="54"/>
      <c r="N61" s="53"/>
      <c r="O61" s="67">
        <f ca="1"/>
        <v>134.90327528622092</v>
      </c>
      <c r="P61" s="53">
        <f ca="1"/>
        <v>139.96298258872821</v>
      </c>
      <c r="Q61" s="53" t="str">
        <f ca="1"/>
        <v>Training</v>
      </c>
      <c r="R61" s="68">
        <f ca="1"/>
        <v>3.7506185759924926</v>
      </c>
      <c r="V61"/>
      <c r="W61"/>
      <c r="X61"/>
      <c r="Y61"/>
      <c r="Z61"/>
      <c r="AA61"/>
    </row>
    <row r="62" spans="1:27" s="2" customFormat="1" x14ac:dyDescent="0.3">
      <c r="A62" s="67" t="str">
        <f ca="1"/>
        <v>RT24</v>
      </c>
      <c r="B62" s="53">
        <f ca="1"/>
        <v>170</v>
      </c>
      <c r="C62" s="53" t="str">
        <f ca="1"/>
        <v>Solidification</v>
      </c>
      <c r="D62" s="53">
        <f ca="1"/>
        <v>0.5</v>
      </c>
      <c r="E62" s="53">
        <f ca="1"/>
        <v>3</v>
      </c>
      <c r="F62" s="53">
        <f ca="1"/>
        <v>15.972408843058197</v>
      </c>
      <c r="G62" s="53">
        <f ca="1"/>
        <v>309.82490270263128</v>
      </c>
      <c r="H62" s="53">
        <f ca="1"/>
        <v>19.397506396618752</v>
      </c>
      <c r="I62" s="53" t="str">
        <f ca="1"/>
        <v>Training</v>
      </c>
      <c r="J62" s="68">
        <f ca="1"/>
        <v>0.94284946582831941</v>
      </c>
      <c r="K62" s="21">
        <f t="shared" ca="1" si="1"/>
        <v>-24.378762016886071</v>
      </c>
      <c r="L62" s="21">
        <f t="shared" ca="1" si="2"/>
        <v>19.731640712591286</v>
      </c>
      <c r="M62" s="54"/>
      <c r="N62" s="53"/>
      <c r="O62" s="67">
        <f ca="1"/>
        <v>309.82490270263128</v>
      </c>
      <c r="P62" s="53">
        <f ca="1"/>
        <v>334.20366471951735</v>
      </c>
      <c r="Q62" s="53" t="str">
        <f ca="1"/>
        <v>Training</v>
      </c>
      <c r="R62" s="68">
        <f ca="1"/>
        <v>7.8685611789846055</v>
      </c>
      <c r="V62"/>
      <c r="W62"/>
      <c r="X62"/>
      <c r="Y62"/>
      <c r="Z62"/>
      <c r="AA62"/>
    </row>
    <row r="63" spans="1:27" s="2" customFormat="1" x14ac:dyDescent="0.3">
      <c r="A63" s="67" t="str">
        <f ca="1"/>
        <v>RT8</v>
      </c>
      <c r="B63" s="53">
        <f ca="1"/>
        <v>170</v>
      </c>
      <c r="C63" s="53" t="str">
        <f ca="1"/>
        <v>Solidification</v>
      </c>
      <c r="D63" s="53">
        <f ca="1"/>
        <v>0.5</v>
      </c>
      <c r="E63" s="53">
        <f ca="1"/>
        <v>1</v>
      </c>
      <c r="F63" s="53">
        <f ca="1"/>
        <v>9.9350536485328842</v>
      </c>
      <c r="G63" s="53">
        <f ca="1"/>
        <v>186.1133247973641</v>
      </c>
      <c r="H63" s="53">
        <f ca="1"/>
        <v>18.732996456928802</v>
      </c>
      <c r="I63" s="53" t="str">
        <f ca="1"/>
        <v>Training</v>
      </c>
      <c r="J63" s="68">
        <f ca="1"/>
        <v>0.37532313899597736</v>
      </c>
      <c r="K63" s="21">
        <f t="shared" ca="1" si="1"/>
        <v>-21.765860562191619</v>
      </c>
      <c r="L63" s="21">
        <f t="shared" ca="1" si="2"/>
        <v>-103.97993719267589</v>
      </c>
      <c r="M63" s="54"/>
      <c r="N63" s="53"/>
      <c r="O63" s="67">
        <f ca="1"/>
        <v>186.1133247973641</v>
      </c>
      <c r="P63" s="53">
        <f ca="1"/>
        <v>207.87918535955572</v>
      </c>
      <c r="Q63" s="53" t="str">
        <f ca="1"/>
        <v>Training</v>
      </c>
      <c r="R63" s="68">
        <f ca="1"/>
        <v>11.694950152488968</v>
      </c>
      <c r="V63"/>
      <c r="W63"/>
      <c r="X63"/>
      <c r="Y63"/>
      <c r="Z63"/>
      <c r="AA63"/>
    </row>
    <row r="64" spans="1:27" s="2" customFormat="1" x14ac:dyDescent="0.3">
      <c r="A64" s="67" t="str">
        <f ca="1"/>
        <v>RT8</v>
      </c>
      <c r="B64" s="53">
        <f ca="1"/>
        <v>170</v>
      </c>
      <c r="C64" s="53" t="str">
        <f ca="1"/>
        <v>Melting</v>
      </c>
      <c r="D64" s="53">
        <f ca="1"/>
        <v>0.5</v>
      </c>
      <c r="E64" s="53">
        <f ca="1"/>
        <v>2</v>
      </c>
      <c r="F64" s="53">
        <f ca="1"/>
        <v>6.9327748784655023</v>
      </c>
      <c r="G64" s="53">
        <f ca="1"/>
        <v>136.08228581679037</v>
      </c>
      <c r="H64" s="53">
        <f ca="1"/>
        <v>19.62883379344791</v>
      </c>
      <c r="I64" s="53" t="str">
        <f ca="1"/>
        <v>Training</v>
      </c>
      <c r="J64" s="68">
        <f ca="1"/>
        <v>0.91233061953151173</v>
      </c>
      <c r="K64" s="21">
        <f t="shared" ca="1" si="1"/>
        <v>-8.9777858245360278</v>
      </c>
      <c r="L64" s="21">
        <f t="shared" ca="1" si="2"/>
        <v>-154.01097617324962</v>
      </c>
      <c r="M64" s="54"/>
      <c r="N64" s="53"/>
      <c r="O64" s="67">
        <f ca="1"/>
        <v>136.08228581679037</v>
      </c>
      <c r="P64" s="53">
        <f ca="1"/>
        <v>145.0600716413264</v>
      </c>
      <c r="Q64" s="53" t="str">
        <f ca="1"/>
        <v>Training</v>
      </c>
      <c r="R64" s="68">
        <f ca="1"/>
        <v>6.5973214446316373</v>
      </c>
      <c r="V64"/>
      <c r="W64"/>
      <c r="X64"/>
      <c r="Y64"/>
      <c r="Z64"/>
      <c r="AA64"/>
    </row>
    <row r="65" spans="1:27" s="2" customFormat="1" x14ac:dyDescent="0.3">
      <c r="A65" s="67" t="str">
        <f ca="1"/>
        <v>RT24</v>
      </c>
      <c r="B65" s="53">
        <f ca="1"/>
        <v>170</v>
      </c>
      <c r="C65" s="53" t="str">
        <f ca="1"/>
        <v>Melting</v>
      </c>
      <c r="D65" s="53">
        <f ca="1"/>
        <v>0.5</v>
      </c>
      <c r="E65" s="53">
        <f ca="1"/>
        <v>3</v>
      </c>
      <c r="F65" s="53">
        <f ca="1"/>
        <v>12.827573007786603</v>
      </c>
      <c r="G65" s="53">
        <f ca="1"/>
        <v>256.02550949111617</v>
      </c>
      <c r="H65" s="53">
        <f ca="1"/>
        <v>19.958998427504827</v>
      </c>
      <c r="I65" s="53" t="str">
        <f ca="1"/>
        <v>Training</v>
      </c>
      <c r="J65" s="68">
        <f ca="1"/>
        <v>0.66426915310688528</v>
      </c>
      <c r="K65" s="21">
        <f t="shared" ca="1" si="1"/>
        <v>-12.376204413335756</v>
      </c>
      <c r="L65" s="21">
        <f t="shared" ca="1" si="2"/>
        <v>-34.067752498923824</v>
      </c>
      <c r="M65" s="54"/>
      <c r="N65" s="53"/>
      <c r="O65" s="67">
        <f ca="1"/>
        <v>256.02550949111617</v>
      </c>
      <c r="P65" s="53">
        <f ca="1"/>
        <v>268.40171390445192</v>
      </c>
      <c r="Q65" s="53" t="str">
        <f ca="1"/>
        <v>Training</v>
      </c>
      <c r="R65" s="68">
        <f ca="1"/>
        <v>4.8339731606960044</v>
      </c>
      <c r="V65"/>
      <c r="W65"/>
      <c r="X65"/>
      <c r="Y65"/>
      <c r="Z65"/>
      <c r="AA65"/>
    </row>
    <row r="66" spans="1:27" s="2" customFormat="1" x14ac:dyDescent="0.3">
      <c r="A66" s="67" t="str">
        <f ca="1"/>
        <v>RT11</v>
      </c>
      <c r="B66" s="53">
        <f ca="1"/>
        <v>170</v>
      </c>
      <c r="C66" s="53" t="str">
        <f ca="1"/>
        <v>Solidification</v>
      </c>
      <c r="D66" s="53">
        <f ca="1"/>
        <v>0.5</v>
      </c>
      <c r="E66" s="53">
        <f ca="1"/>
        <v>1</v>
      </c>
      <c r="F66" s="53">
        <f ca="1"/>
        <v>11.393531322500698</v>
      </c>
      <c r="G66" s="53">
        <f ca="1"/>
        <v>236.18810812499981</v>
      </c>
      <c r="H66" s="53">
        <f ca="1"/>
        <v>20.730017888181866</v>
      </c>
      <c r="I66" s="53" t="str">
        <f ca="1"/>
        <v>Training</v>
      </c>
      <c r="J66" s="68">
        <f ca="1"/>
        <v>0.69322701213498361</v>
      </c>
      <c r="K66" s="21">
        <f t="shared" ca="1" si="1"/>
        <v>-2.207988512060723</v>
      </c>
      <c r="L66" s="21">
        <f t="shared" ca="1" si="2"/>
        <v>-53.905153865040177</v>
      </c>
      <c r="M66" s="54"/>
      <c r="N66" s="53"/>
      <c r="O66" s="67">
        <f ca="1"/>
        <v>236.18810812499981</v>
      </c>
      <c r="P66" s="53">
        <f ca="1"/>
        <v>238.39609663706054</v>
      </c>
      <c r="Q66" s="53" t="str">
        <f ca="1"/>
        <v>Training</v>
      </c>
      <c r="R66" s="68">
        <f ca="1"/>
        <v>0.93484321864848952</v>
      </c>
      <c r="V66"/>
      <c r="W66"/>
      <c r="X66"/>
      <c r="Y66"/>
      <c r="Z66"/>
      <c r="AA66"/>
    </row>
    <row r="67" spans="1:27" s="2" customFormat="1" x14ac:dyDescent="0.3">
      <c r="A67" s="67" t="str">
        <f ca="1"/>
        <v>RT11</v>
      </c>
      <c r="B67" s="53">
        <f ca="1"/>
        <v>170</v>
      </c>
      <c r="C67" s="53" t="str">
        <f ca="1"/>
        <v>Solidification</v>
      </c>
      <c r="D67" s="53">
        <f ca="1"/>
        <v>0.5</v>
      </c>
      <c r="E67" s="53">
        <f ca="1"/>
        <v>3</v>
      </c>
      <c r="F67" s="53">
        <f ca="1"/>
        <v>14.158822452174912</v>
      </c>
      <c r="G67" s="53">
        <f ca="1"/>
        <v>270.25498746086953</v>
      </c>
      <c r="H67" s="53">
        <f ca="1"/>
        <v>19.087391509691273</v>
      </c>
      <c r="I67" s="53" t="str">
        <f ca="1"/>
        <v>Training</v>
      </c>
      <c r="J67" s="68">
        <f ca="1"/>
        <v>0.94452274835262728</v>
      </c>
      <c r="K67" s="21">
        <f t="shared" ca="1" si="1"/>
        <v>-26.001538284550065</v>
      </c>
      <c r="L67" s="21">
        <f t="shared" ca="1" si="2"/>
        <v>-19.838274529170462</v>
      </c>
      <c r="M67" s="54"/>
      <c r="N67" s="53"/>
      <c r="O67" s="67">
        <f ca="1"/>
        <v>270.25498746086953</v>
      </c>
      <c r="P67" s="53">
        <f ca="1"/>
        <v>296.25652574541959</v>
      </c>
      <c r="Q67" s="53" t="str">
        <f ca="1"/>
        <v>Training</v>
      </c>
      <c r="R67" s="68">
        <f ca="1"/>
        <v>9.6211132045490384</v>
      </c>
      <c r="V67"/>
      <c r="W67"/>
      <c r="X67"/>
      <c r="Y67"/>
      <c r="Z67"/>
      <c r="AA67"/>
    </row>
    <row r="68" spans="1:27" s="2" customFormat="1" x14ac:dyDescent="0.3">
      <c r="A68" s="67" t="str">
        <f ca="1"/>
        <v>RT8 (15mm)</v>
      </c>
      <c r="B68" s="53">
        <f ca="1"/>
        <v>170</v>
      </c>
      <c r="C68" s="53" t="str">
        <f ca="1"/>
        <v>Solidification</v>
      </c>
      <c r="D68" s="53">
        <f ca="1"/>
        <v>0.5</v>
      </c>
      <c r="E68" s="53">
        <f ca="1"/>
        <v>1</v>
      </c>
      <c r="F68" s="53">
        <f ca="1"/>
        <v>19.795800000000789</v>
      </c>
      <c r="G68" s="53">
        <f ca="1"/>
        <v>417.0263999999998</v>
      </c>
      <c r="H68" s="53">
        <f ca="1"/>
        <v>21.066408025944046</v>
      </c>
      <c r="I68" s="53" t="str">
        <f ca="1"/>
        <v>Training</v>
      </c>
      <c r="J68" s="68">
        <f ca="1"/>
        <v>0.13286409264483634</v>
      </c>
      <c r="K68" s="21">
        <f t="shared" ca="1" si="1"/>
        <v>2.8228211246565706</v>
      </c>
      <c r="L68" s="21">
        <f t="shared" ca="1" si="2"/>
        <v>126.93313800995981</v>
      </c>
      <c r="M68" s="54"/>
      <c r="N68" s="53"/>
      <c r="O68" s="67">
        <f ca="1"/>
        <v>417.0263999999998</v>
      </c>
      <c r="P68" s="53">
        <f ca="1"/>
        <v>414.20357887534323</v>
      </c>
      <c r="Q68" s="53" t="str">
        <f ca="1"/>
        <v>Training</v>
      </c>
      <c r="R68" s="68">
        <f ca="1"/>
        <v>0.67689266786385038</v>
      </c>
      <c r="V68"/>
      <c r="W68"/>
      <c r="X68"/>
      <c r="Y68"/>
      <c r="Z68"/>
      <c r="AA68"/>
    </row>
    <row r="69" spans="1:27" s="2" customFormat="1" x14ac:dyDescent="0.3">
      <c r="A69" s="67" t="str">
        <f ca="1"/>
        <v>RT8 (15mm)</v>
      </c>
      <c r="B69" s="53">
        <f ca="1"/>
        <v>170</v>
      </c>
      <c r="C69" s="53" t="str">
        <f ca="1"/>
        <v>Melting</v>
      </c>
      <c r="D69" s="53">
        <f ca="1"/>
        <v>0.5</v>
      </c>
      <c r="E69" s="53">
        <f ca="1"/>
        <v>2</v>
      </c>
      <c r="F69" s="53">
        <f ca="1"/>
        <v>14.901658243472077</v>
      </c>
      <c r="G69" s="53">
        <f ca="1"/>
        <v>299.1960258608637</v>
      </c>
      <c r="H69" s="53">
        <f ca="1"/>
        <v>20.078035677132213</v>
      </c>
      <c r="I69" s="53" t="str">
        <f ca="1"/>
        <v>Training</v>
      </c>
      <c r="J69" s="68">
        <f ca="1"/>
        <v>0.30117238207836616</v>
      </c>
      <c r="K69" s="21">
        <f t="shared" ca="1" si="1"/>
        <v>-12.60345562627748</v>
      </c>
      <c r="L69" s="21">
        <f t="shared" ca="1" si="2"/>
        <v>9.1027638708237077</v>
      </c>
      <c r="M69" s="54"/>
      <c r="N69" s="53"/>
      <c r="O69" s="67">
        <f ca="1"/>
        <v>299.1960258608637</v>
      </c>
      <c r="P69" s="53">
        <f ca="1"/>
        <v>311.79948148714118</v>
      </c>
      <c r="Q69" s="53" t="str">
        <f ca="1"/>
        <v>Training</v>
      </c>
      <c r="R69" s="68">
        <f ca="1"/>
        <v>4.2124408537894533</v>
      </c>
      <c r="V69"/>
      <c r="W69"/>
      <c r="X69"/>
      <c r="Y69"/>
      <c r="Z69"/>
      <c r="AA69"/>
    </row>
    <row r="70" spans="1:27" s="2" customFormat="1" x14ac:dyDescent="0.3">
      <c r="A70" s="67" t="str">
        <f ca="1"/>
        <v>RT11</v>
      </c>
      <c r="B70" s="53">
        <f ca="1"/>
        <v>170</v>
      </c>
      <c r="C70" s="53" t="str">
        <f ca="1"/>
        <v>Melting</v>
      </c>
      <c r="D70" s="53">
        <f ca="1"/>
        <v>0.5</v>
      </c>
      <c r="E70" s="53">
        <f ca="1"/>
        <v>1</v>
      </c>
      <c r="F70" s="53">
        <f ca="1"/>
        <v>12.236660066643104</v>
      </c>
      <c r="G70" s="53">
        <f ca="1"/>
        <v>246.42412532412126</v>
      </c>
      <c r="H70" s="53">
        <f ca="1"/>
        <v>20.138185091524168</v>
      </c>
      <c r="I70" s="53" t="str">
        <f ca="1"/>
        <v>Training</v>
      </c>
      <c r="J70" s="68">
        <f ca="1"/>
        <v>0.43546386406937332</v>
      </c>
      <c r="K70" s="21">
        <f t="shared" ca="1" si="1"/>
        <v>-9.613437850105953</v>
      </c>
      <c r="L70" s="21">
        <f t="shared" ca="1" si="2"/>
        <v>-43.669136665918728</v>
      </c>
      <c r="M70" s="54"/>
      <c r="N70" s="53"/>
      <c r="O70" s="67">
        <f ca="1"/>
        <v>246.42412532412126</v>
      </c>
      <c r="P70" s="53">
        <f ca="1"/>
        <v>256.03756317422722</v>
      </c>
      <c r="Q70" s="53" t="str">
        <f ca="1"/>
        <v>Training</v>
      </c>
      <c r="R70" s="68">
        <f ca="1"/>
        <v>3.901175600181765</v>
      </c>
      <c r="V70"/>
      <c r="W70"/>
      <c r="X70"/>
      <c r="Y70"/>
      <c r="Z70"/>
      <c r="AA70"/>
    </row>
    <row r="71" spans="1:27" s="2" customFormat="1" x14ac:dyDescent="0.3">
      <c r="A71" s="67" t="str">
        <f ca="1"/>
        <v>RT11</v>
      </c>
      <c r="B71" s="53">
        <f ca="1"/>
        <v>170</v>
      </c>
      <c r="C71" s="53" t="str">
        <f ca="1"/>
        <v>Solidification</v>
      </c>
      <c r="D71" s="53">
        <f ca="1"/>
        <v>0.5</v>
      </c>
      <c r="E71" s="53">
        <f ca="1"/>
        <v>2</v>
      </c>
      <c r="F71" s="53">
        <f ca="1"/>
        <v>11.776659612500808</v>
      </c>
      <c r="G71" s="53">
        <f ca="1"/>
        <v>233.47361453749977</v>
      </c>
      <c r="H71" s="53">
        <f ca="1"/>
        <v>19.825113590756231</v>
      </c>
      <c r="I71" s="53" t="str">
        <f ca="1"/>
        <v>Training</v>
      </c>
      <c r="J71" s="68">
        <f ca="1"/>
        <v>0.66102693646414412</v>
      </c>
      <c r="K71" s="21">
        <f t="shared" ca="1" si="1"/>
        <v>-12.938986049208154</v>
      </c>
      <c r="L71" s="21">
        <f t="shared" ca="1" si="2"/>
        <v>-56.619647452540221</v>
      </c>
      <c r="M71" s="54"/>
      <c r="N71" s="53"/>
      <c r="O71" s="67">
        <f ca="1"/>
        <v>233.47361453749977</v>
      </c>
      <c r="P71" s="53">
        <f ca="1"/>
        <v>246.41260058670792</v>
      </c>
      <c r="Q71" s="53" t="str">
        <f ca="1"/>
        <v>Training</v>
      </c>
      <c r="R71" s="68">
        <f ca="1"/>
        <v>5.5419478877044313</v>
      </c>
      <c r="V71"/>
      <c r="W71"/>
      <c r="X71"/>
      <c r="Y71"/>
      <c r="Z71"/>
      <c r="AA71"/>
    </row>
    <row r="72" spans="1:27" s="2" customFormat="1" x14ac:dyDescent="0.3">
      <c r="A72" s="67" t="str">
        <f ca="1"/>
        <v>RT8 (15mm)</v>
      </c>
      <c r="B72" s="53">
        <f ca="1"/>
        <v>170</v>
      </c>
      <c r="C72" s="53" t="str">
        <f ca="1"/>
        <v>Solidification</v>
      </c>
      <c r="D72" s="53">
        <f ca="1"/>
        <v>0.5</v>
      </c>
      <c r="E72" s="53">
        <f ca="1"/>
        <v>2</v>
      </c>
      <c r="F72" s="53">
        <f ca="1"/>
        <v>18.948021681361002</v>
      </c>
      <c r="G72" s="53">
        <f ca="1"/>
        <v>412.39364114077745</v>
      </c>
      <c r="H72" s="53">
        <f ca="1"/>
        <v>21.764469561824775</v>
      </c>
      <c r="I72" s="53" t="str">
        <f ca="1"/>
        <v>Training</v>
      </c>
      <c r="J72" s="68">
        <f ca="1"/>
        <v>2.2391391704886465E-2</v>
      </c>
      <c r="K72" s="21">
        <f t="shared" ca="1" si="1"/>
        <v>15.928815620868534</v>
      </c>
      <c r="L72" s="21">
        <f t="shared" ca="1" si="2"/>
        <v>122.30037915073746</v>
      </c>
      <c r="M72" s="54"/>
      <c r="N72" s="53"/>
      <c r="O72" s="67">
        <f ca="1"/>
        <v>412.39364114077745</v>
      </c>
      <c r="P72" s="53">
        <f ca="1"/>
        <v>396.46482551990891</v>
      </c>
      <c r="Q72" s="53" t="str">
        <f ca="1"/>
        <v>Training</v>
      </c>
      <c r="R72" s="68">
        <f ca="1"/>
        <v>3.862526972240818</v>
      </c>
      <c r="V72"/>
      <c r="W72"/>
      <c r="X72"/>
      <c r="Y72"/>
      <c r="Z72"/>
      <c r="AA72"/>
    </row>
    <row r="73" spans="1:27" s="2" customFormat="1" x14ac:dyDescent="0.3">
      <c r="A73" s="67" t="str">
        <f ca="1"/>
        <v>RT24</v>
      </c>
      <c r="B73" s="53">
        <f ca="1"/>
        <v>170</v>
      </c>
      <c r="C73" s="53" t="str">
        <f ca="1"/>
        <v>Solidification</v>
      </c>
      <c r="D73" s="53">
        <f ca="1"/>
        <v>0.5</v>
      </c>
      <c r="E73" s="53">
        <f ca="1"/>
        <v>1</v>
      </c>
      <c r="F73" s="53">
        <f ca="1"/>
        <v>14.747651848983457</v>
      </c>
      <c r="G73" s="53">
        <f ca="1"/>
        <v>292.58543252599304</v>
      </c>
      <c r="H73" s="53">
        <f ca="1"/>
        <v>19.839458886206398</v>
      </c>
      <c r="I73" s="53" t="str">
        <f ca="1"/>
        <v>Training</v>
      </c>
      <c r="J73" s="68">
        <f ca="1"/>
        <v>0.59627804186785727</v>
      </c>
      <c r="K73" s="21">
        <f t="shared" ca="1" si="1"/>
        <v>-15.99164826166276</v>
      </c>
      <c r="L73" s="21">
        <f t="shared" ca="1" si="2"/>
        <v>2.4921705359530506</v>
      </c>
      <c r="M73" s="54"/>
      <c r="N73" s="53"/>
      <c r="O73" s="67">
        <f ca="1"/>
        <v>292.58543252599304</v>
      </c>
      <c r="P73" s="53">
        <f ca="1"/>
        <v>308.5770807876558</v>
      </c>
      <c r="Q73" s="53" t="str">
        <f ca="1"/>
        <v>Training</v>
      </c>
      <c r="R73" s="68">
        <f ca="1"/>
        <v>5.4656337889419957</v>
      </c>
      <c r="V73"/>
      <c r="W73"/>
      <c r="X73"/>
      <c r="Y73"/>
      <c r="Z73"/>
      <c r="AA73"/>
    </row>
    <row r="74" spans="1:27" s="2" customFormat="1" x14ac:dyDescent="0.3">
      <c r="A74" s="67" t="str">
        <f ca="1"/>
        <v>RT11</v>
      </c>
      <c r="B74" s="53">
        <f ca="1"/>
        <v>170</v>
      </c>
      <c r="C74" s="53" t="str">
        <f ca="1"/>
        <v>Melting</v>
      </c>
      <c r="D74" s="53">
        <f ca="1"/>
        <v>0.5</v>
      </c>
      <c r="E74" s="53">
        <f ca="1"/>
        <v>2</v>
      </c>
      <c r="F74" s="53">
        <f ca="1"/>
        <v>12.778499999994182</v>
      </c>
      <c r="G74" s="53">
        <f ca="1"/>
        <v>247.45169999999919</v>
      </c>
      <c r="H74" s="53">
        <f ca="1"/>
        <v>19.364690691404459</v>
      </c>
      <c r="I74" s="53" t="str">
        <f ca="1"/>
        <v>Training</v>
      </c>
      <c r="J74" s="68">
        <f ca="1"/>
        <v>0.1765908809853145</v>
      </c>
      <c r="K74" s="21">
        <f t="shared" ca="1" si="1"/>
        <v>-19.923219561521563</v>
      </c>
      <c r="L74" s="21">
        <f t="shared" ca="1" si="2"/>
        <v>-42.641561990040799</v>
      </c>
      <c r="M74" s="54"/>
      <c r="N74" s="53"/>
      <c r="O74" s="67">
        <f ca="1"/>
        <v>247.45169999999919</v>
      </c>
      <c r="P74" s="53">
        <f ca="1"/>
        <v>267.37491956152076</v>
      </c>
      <c r="Q74" s="53" t="str">
        <f ca="1"/>
        <v>Training</v>
      </c>
      <c r="R74" s="68">
        <f ca="1"/>
        <v>8.0513569159240497</v>
      </c>
      <c r="V74"/>
      <c r="W74"/>
      <c r="X74"/>
      <c r="Y74"/>
      <c r="Z74"/>
      <c r="AA74"/>
    </row>
    <row r="75" spans="1:27" s="2" customFormat="1" x14ac:dyDescent="0.3">
      <c r="A75" s="69" t="str">
        <f ca="1"/>
        <v>RT24</v>
      </c>
      <c r="B75" s="70">
        <f ca="1"/>
        <v>170</v>
      </c>
      <c r="C75" s="70" t="str">
        <f ca="1"/>
        <v>Melting</v>
      </c>
      <c r="D75" s="70">
        <f ca="1"/>
        <v>0.5</v>
      </c>
      <c r="E75" s="70">
        <f ca="1"/>
        <v>2</v>
      </c>
      <c r="F75" s="70">
        <f ca="1"/>
        <v>11.275199999993378</v>
      </c>
      <c r="G75" s="70">
        <f ca="1"/>
        <v>242.68199999999433</v>
      </c>
      <c r="H75" s="70">
        <f ca="1"/>
        <v>21.523520647096007</v>
      </c>
      <c r="I75" s="70" t="str">
        <f ca="1"/>
        <v>Training</v>
      </c>
      <c r="J75" s="71">
        <f ca="1"/>
        <v>9.0850663484197236E-2</v>
      </c>
      <c r="K75" s="21">
        <f t="shared" ca="1" si="1"/>
        <v>6.7618455969219156</v>
      </c>
      <c r="L75" s="21">
        <f t="shared" ca="1" si="2"/>
        <v>-47.411261990045659</v>
      </c>
      <c r="M75" s="54"/>
      <c r="N75" s="53"/>
      <c r="O75" s="69">
        <f ca="1"/>
        <v>242.68199999999433</v>
      </c>
      <c r="P75" s="70">
        <f ca="1"/>
        <v>235.92015440307242</v>
      </c>
      <c r="Q75" s="70" t="str">
        <f ca="1"/>
        <v>Training</v>
      </c>
      <c r="R75" s="71">
        <f ca="1"/>
        <v>2.786298776556182</v>
      </c>
      <c r="V75"/>
      <c r="W75"/>
      <c r="X75"/>
      <c r="Y75"/>
      <c r="Z75"/>
      <c r="AA75"/>
    </row>
    <row r="76" spans="1:27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3"/>
      <c r="O76" s="53"/>
      <c r="P76" s="53"/>
      <c r="Q76" s="53"/>
      <c r="R76" s="53"/>
    </row>
    <row r="77" spans="1:27" x14ac:dyDescent="0.3">
      <c r="K77" s="52"/>
      <c r="L77" s="52"/>
    </row>
    <row r="78" spans="1:27" s="2" customFormat="1" x14ac:dyDescent="0.3">
      <c r="A78" s="28" t="str" cm="1">
        <f t="array" aca="1" ref="A78:J86" ca="1">_xlfn._xlws.FILTER(Data_05Ch[],Data_05Ch[T / V]="Validation")</f>
        <v>RT18</v>
      </c>
      <c r="B78" s="29">
        <f ca="1"/>
        <v>230</v>
      </c>
      <c r="C78" s="29" t="str">
        <f ca="1"/>
        <v>Melting</v>
      </c>
      <c r="D78" s="29">
        <f ca="1"/>
        <v>0.5</v>
      </c>
      <c r="E78" s="29">
        <f ca="1"/>
        <v>1</v>
      </c>
      <c r="F78" s="29">
        <f ca="1"/>
        <v>22.067685978047887</v>
      </c>
      <c r="G78" s="29">
        <f ca="1"/>
        <v>530.44121365596561</v>
      </c>
      <c r="H78" s="29">
        <f ca="1"/>
        <v>24.037011138532094</v>
      </c>
      <c r="I78" s="29" t="str">
        <f ca="1"/>
        <v>Validation</v>
      </c>
      <c r="J78" s="30">
        <f ca="1"/>
        <v>0.22225788134819002</v>
      </c>
      <c r="K78" s="31"/>
      <c r="L78" s="31"/>
      <c r="M78" s="32"/>
      <c r="N78" s="31"/>
      <c r="O78" s="28" cm="1">
        <f t="array" aca="1" ref="O78:R86" ca="1">_xlfn._xlws.FILTER(Estimates_05Ch[],Estimates_05Ch[T / V]="Validation")</f>
        <v>530.44121365596561</v>
      </c>
      <c r="P78" s="29">
        <f ca="1"/>
        <v>461.74009181767343</v>
      </c>
      <c r="Q78" s="29" t="str">
        <f ca="1"/>
        <v>Validation</v>
      </c>
      <c r="R78" s="30">
        <f ca="1"/>
        <v>12.951693810664278</v>
      </c>
      <c r="V78"/>
      <c r="W78"/>
      <c r="X78"/>
      <c r="Y78"/>
      <c r="Z78"/>
      <c r="AA78"/>
    </row>
    <row r="79" spans="1:27" s="2" customFormat="1" x14ac:dyDescent="0.3">
      <c r="A79" s="33" t="str">
        <f ca="1"/>
        <v>RT18</v>
      </c>
      <c r="B79" s="31">
        <f ca="1"/>
        <v>230</v>
      </c>
      <c r="C79" s="31" t="str">
        <f ca="1"/>
        <v>Melting</v>
      </c>
      <c r="D79" s="31">
        <f ca="1"/>
        <v>0.5</v>
      </c>
      <c r="E79" s="31">
        <f ca="1"/>
        <v>2</v>
      </c>
      <c r="F79" s="31">
        <f ca="1"/>
        <v>22.836000000008426</v>
      </c>
      <c r="G79" s="31">
        <f ca="1"/>
        <v>554.20560000000489</v>
      </c>
      <c r="H79" s="31">
        <f ca="1"/>
        <v>24.268943772981274</v>
      </c>
      <c r="I79" s="31" t="str">
        <f ca="1"/>
        <v>Validation</v>
      </c>
      <c r="J79" s="34">
        <f ca="1"/>
        <v>4.3624641851917612E-2</v>
      </c>
      <c r="K79" s="31"/>
      <c r="L79" s="31"/>
      <c r="M79" s="32"/>
      <c r="N79" s="31"/>
      <c r="O79" s="33">
        <f ca="1"/>
        <v>554.20560000000489</v>
      </c>
      <c r="P79" s="31">
        <f ca="1"/>
        <v>477.81614924380176</v>
      </c>
      <c r="Q79" s="31" t="str">
        <f ca="1"/>
        <v>Validation</v>
      </c>
      <c r="R79" s="34">
        <f ca="1"/>
        <v>13.783594167255339</v>
      </c>
      <c r="V79"/>
      <c r="W79"/>
      <c r="X79"/>
      <c r="Y79"/>
      <c r="Z79"/>
      <c r="AA79"/>
    </row>
    <row r="80" spans="1:27" s="2" customFormat="1" x14ac:dyDescent="0.3">
      <c r="A80" s="33" t="str">
        <f ca="1"/>
        <v>RT8</v>
      </c>
      <c r="B80" s="31">
        <f ca="1"/>
        <v>170</v>
      </c>
      <c r="C80" s="31" t="str">
        <f ca="1"/>
        <v>Melting</v>
      </c>
      <c r="D80" s="31">
        <f ca="1"/>
        <v>0.5</v>
      </c>
      <c r="E80" s="31">
        <f ca="1"/>
        <v>1</v>
      </c>
      <c r="F80" s="31">
        <f ca="1"/>
        <v>8.0972999999946342</v>
      </c>
      <c r="G80" s="31">
        <f ca="1"/>
        <v>166.90619999999905</v>
      </c>
      <c r="H80" s="31">
        <f ca="1"/>
        <v>20.612574561904541</v>
      </c>
      <c r="I80" s="31" t="str">
        <f ca="1"/>
        <v>Validation</v>
      </c>
      <c r="J80" s="34">
        <f ca="1"/>
        <v>0.6513989064314385</v>
      </c>
      <c r="K80" s="31"/>
      <c r="L80" s="31"/>
      <c r="M80" s="32"/>
      <c r="N80" s="31"/>
      <c r="O80" s="33">
        <f ca="1"/>
        <v>166.90619999999905</v>
      </c>
      <c r="P80" s="31">
        <f ca="1"/>
        <v>169.42637525257683</v>
      </c>
      <c r="Q80" s="31" t="str">
        <f ca="1"/>
        <v>Validation</v>
      </c>
      <c r="R80" s="34">
        <f ca="1"/>
        <v>1.5099350728599661</v>
      </c>
      <c r="V80"/>
      <c r="W80"/>
      <c r="X80"/>
      <c r="Y80"/>
      <c r="Z80"/>
      <c r="AA80"/>
    </row>
    <row r="81" spans="1:27" s="2" customFormat="1" x14ac:dyDescent="0.3">
      <c r="A81" s="33" t="str">
        <f ca="1"/>
        <v>RT11</v>
      </c>
      <c r="B81" s="31">
        <f ca="1"/>
        <v>170</v>
      </c>
      <c r="C81" s="31" t="str">
        <f ca="1"/>
        <v>Melting</v>
      </c>
      <c r="D81" s="31">
        <f ca="1"/>
        <v>0.5</v>
      </c>
      <c r="E81" s="31">
        <f ca="1"/>
        <v>3</v>
      </c>
      <c r="F81" s="31">
        <f ca="1"/>
        <v>13.394999999995163</v>
      </c>
      <c r="G81" s="31">
        <f ca="1"/>
        <v>240.30809999999769</v>
      </c>
      <c r="H81" s="31">
        <f ca="1"/>
        <v>17.940134378505746</v>
      </c>
      <c r="I81" s="31" t="str">
        <f ca="1"/>
        <v>Validation</v>
      </c>
      <c r="J81" s="34">
        <f ca="1"/>
        <v>0.77212975076514889</v>
      </c>
      <c r="K81" s="31"/>
      <c r="L81" s="31"/>
      <c r="M81" s="32"/>
      <c r="N81" s="31"/>
      <c r="O81" s="33">
        <f ca="1"/>
        <v>240.30809999999769</v>
      </c>
      <c r="P81" s="31">
        <f ca="1"/>
        <v>280.27444907672322</v>
      </c>
      <c r="Q81" s="31" t="str">
        <f ca="1"/>
        <v>Validation</v>
      </c>
      <c r="R81" s="34">
        <f ca="1"/>
        <v>16.631295023649184</v>
      </c>
      <c r="V81"/>
      <c r="W81"/>
      <c r="X81"/>
      <c r="Y81"/>
      <c r="Z81"/>
      <c r="AA81"/>
    </row>
    <row r="82" spans="1:27" s="2" customFormat="1" x14ac:dyDescent="0.3">
      <c r="A82" s="33" t="str">
        <f ca="1"/>
        <v>RT18</v>
      </c>
      <c r="B82" s="31">
        <f ca="1"/>
        <v>230</v>
      </c>
      <c r="C82" s="31" t="str">
        <f ca="1"/>
        <v>Solidification</v>
      </c>
      <c r="D82" s="31">
        <f ca="1"/>
        <v>0.5</v>
      </c>
      <c r="E82" s="31">
        <f ca="1"/>
        <v>3</v>
      </c>
      <c r="F82" s="31">
        <f ca="1"/>
        <v>24.450227664</v>
      </c>
      <c r="G82" s="31">
        <f ca="1"/>
        <v>552.97144175999995</v>
      </c>
      <c r="H82" s="31">
        <f ca="1"/>
        <v>22.6162083</v>
      </c>
      <c r="I82" s="31" t="str">
        <f ca="1"/>
        <v>Validation</v>
      </c>
      <c r="J82" s="34">
        <f ca="1"/>
        <v>0.28496924644295518</v>
      </c>
      <c r="K82" s="31"/>
      <c r="L82" s="31"/>
      <c r="M82" s="32"/>
      <c r="N82" s="31"/>
      <c r="O82" s="33">
        <f ca="1"/>
        <v>552.97144175999995</v>
      </c>
      <c r="P82" s="31">
        <f ca="1"/>
        <v>511.59194388432491</v>
      </c>
      <c r="Q82" s="31" t="str">
        <f ca="1"/>
        <v>Validation</v>
      </c>
      <c r="R82" s="34">
        <f ca="1"/>
        <v>7.4831166224375343</v>
      </c>
      <c r="V82"/>
      <c r="W82"/>
      <c r="X82"/>
      <c r="Y82"/>
      <c r="Z82"/>
      <c r="AA82"/>
    </row>
    <row r="83" spans="1:27" s="2" customFormat="1" x14ac:dyDescent="0.3">
      <c r="A83" s="33" t="str">
        <f ca="1"/>
        <v>RT18</v>
      </c>
      <c r="B83" s="31">
        <f ca="1"/>
        <v>230</v>
      </c>
      <c r="C83" s="31" t="str">
        <f ca="1"/>
        <v>Melting</v>
      </c>
      <c r="D83" s="31">
        <f ca="1"/>
        <v>0.5</v>
      </c>
      <c r="E83" s="31">
        <f ca="1"/>
        <v>3</v>
      </c>
      <c r="F83" s="31">
        <f ca="1"/>
        <v>22.421999999999997</v>
      </c>
      <c r="G83" s="31">
        <f ca="1"/>
        <v>526.93979999999999</v>
      </c>
      <c r="H83" s="31">
        <f ca="1"/>
        <v>23.50101686</v>
      </c>
      <c r="I83" s="31" t="str">
        <f ca="1"/>
        <v>Validation</v>
      </c>
      <c r="J83" s="34">
        <f ca="1"/>
        <v>0.86709526068148501</v>
      </c>
      <c r="K83" s="31"/>
      <c r="L83" s="31"/>
      <c r="M83" s="32"/>
      <c r="N83" s="31"/>
      <c r="O83" s="33">
        <f ca="1"/>
        <v>526.93979999999999</v>
      </c>
      <c r="P83" s="31">
        <f ca="1"/>
        <v>469.15369146700687</v>
      </c>
      <c r="Q83" s="31" t="str">
        <f ca="1"/>
        <v>Validation</v>
      </c>
      <c r="R83" s="34">
        <f ca="1"/>
        <v>10.966358687082115</v>
      </c>
      <c r="V83"/>
      <c r="W83"/>
      <c r="X83"/>
      <c r="Y83"/>
      <c r="Z83"/>
      <c r="AA83"/>
    </row>
    <row r="84" spans="1:27" s="2" customFormat="1" x14ac:dyDescent="0.3">
      <c r="A84" s="33" t="str">
        <f ca="1"/>
        <v>RT8 (15mm)</v>
      </c>
      <c r="B84" s="31">
        <f ca="1"/>
        <v>170</v>
      </c>
      <c r="C84" s="31" t="str">
        <f ca="1"/>
        <v>Melting</v>
      </c>
      <c r="D84" s="31">
        <f ca="1"/>
        <v>0.5</v>
      </c>
      <c r="E84" s="31">
        <f ca="1"/>
        <v>3</v>
      </c>
      <c r="F84" s="31">
        <f ca="1"/>
        <v>15.294906027162749</v>
      </c>
      <c r="G84" s="31">
        <f ca="1"/>
        <v>318.35937208508204</v>
      </c>
      <c r="H84" s="31">
        <f ca="1"/>
        <v>20.814732141518011</v>
      </c>
      <c r="I84" s="31" t="str">
        <f ca="1"/>
        <v>Validation</v>
      </c>
      <c r="J84" s="34">
        <f ca="1"/>
        <v>0.1289364260713679</v>
      </c>
      <c r="K84" s="31"/>
      <c r="L84" s="31"/>
      <c r="M84" s="32"/>
      <c r="N84" s="31"/>
      <c r="O84" s="33">
        <f ca="1"/>
        <v>318.35937208508204</v>
      </c>
      <c r="P84" s="31">
        <f ca="1"/>
        <v>320.02772381073845</v>
      </c>
      <c r="Q84" s="31" t="str">
        <f ca="1"/>
        <v>Validation</v>
      </c>
      <c r="R84" s="34">
        <f ca="1"/>
        <v>0.52404668181420389</v>
      </c>
      <c r="V84"/>
      <c r="W84"/>
      <c r="X84"/>
      <c r="Y84"/>
      <c r="Z84"/>
      <c r="AA84"/>
    </row>
    <row r="85" spans="1:27" s="2" customFormat="1" x14ac:dyDescent="0.3">
      <c r="A85" s="33" t="str">
        <f ca="1"/>
        <v>RT24</v>
      </c>
      <c r="B85" s="31">
        <f ca="1"/>
        <v>170</v>
      </c>
      <c r="C85" s="31" t="str">
        <f ca="1"/>
        <v>Solidification</v>
      </c>
      <c r="D85" s="31">
        <f ca="1"/>
        <v>0.5</v>
      </c>
      <c r="E85" s="31">
        <f ca="1"/>
        <v>2</v>
      </c>
      <c r="F85" s="31">
        <f ca="1"/>
        <v>17.790648849835058</v>
      </c>
      <c r="G85" s="31">
        <f ca="1"/>
        <v>369.31674307917132</v>
      </c>
      <c r="H85" s="31">
        <f ca="1"/>
        <v>20.759037300800603</v>
      </c>
      <c r="I85" s="31" t="str">
        <f ca="1"/>
        <v>Validation</v>
      </c>
      <c r="J85" s="34">
        <f ca="1"/>
        <v>0.64350642715137751</v>
      </c>
      <c r="K85" s="31"/>
      <c r="L85" s="31"/>
      <c r="M85" s="32"/>
      <c r="N85" s="31"/>
      <c r="O85" s="33">
        <f ca="1"/>
        <v>369.31674307917132</v>
      </c>
      <c r="P85" s="31">
        <f ca="1"/>
        <v>372.24817507329311</v>
      </c>
      <c r="Q85" s="31" t="str">
        <f ca="1"/>
        <v>Validation</v>
      </c>
      <c r="R85" s="34">
        <f ca="1"/>
        <v>0.79374467826208905</v>
      </c>
      <c r="V85"/>
      <c r="W85"/>
      <c r="X85"/>
      <c r="Y85"/>
      <c r="Z85"/>
      <c r="AA85"/>
    </row>
    <row r="86" spans="1:27" s="2" customFormat="1" x14ac:dyDescent="0.3">
      <c r="A86" s="35" t="str">
        <f ca="1"/>
        <v>RT8</v>
      </c>
      <c r="B86" s="36">
        <f ca="1"/>
        <v>170</v>
      </c>
      <c r="C86" s="36" t="str">
        <f ca="1"/>
        <v>Solidification</v>
      </c>
      <c r="D86" s="36">
        <f ca="1"/>
        <v>0.5</v>
      </c>
      <c r="E86" s="36">
        <f ca="1"/>
        <v>3</v>
      </c>
      <c r="F86" s="36">
        <f ca="1"/>
        <v>7.7242423058830347</v>
      </c>
      <c r="G86" s="36">
        <f ca="1"/>
        <v>178.55986063999981</v>
      </c>
      <c r="H86" s="36">
        <f ca="1"/>
        <v>23.116812441785104</v>
      </c>
      <c r="I86" s="36" t="str">
        <f ca="1"/>
        <v>Validation</v>
      </c>
      <c r="J86" s="37">
        <f ca="1"/>
        <v>0.2522640824073884</v>
      </c>
      <c r="K86" s="31"/>
      <c r="L86" s="31"/>
      <c r="M86" s="32"/>
      <c r="N86" s="31"/>
      <c r="O86" s="35">
        <f ca="1"/>
        <v>178.55986063999981</v>
      </c>
      <c r="P86" s="36">
        <f ca="1"/>
        <v>161.62058654850821</v>
      </c>
      <c r="Q86" s="36" t="str">
        <f ca="1"/>
        <v>Validation</v>
      </c>
      <c r="R86" s="37">
        <f ca="1"/>
        <v>9.4866080376504129</v>
      </c>
      <c r="V86"/>
      <c r="W86"/>
      <c r="X86"/>
      <c r="Y86"/>
      <c r="Z86"/>
      <c r="AA86"/>
    </row>
    <row r="87" spans="1:27" s="2" customForma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2"/>
      <c r="N87" s="31"/>
      <c r="O87" s="31"/>
      <c r="P87" s="31"/>
      <c r="Q87" s="31"/>
      <c r="R87" s="31"/>
      <c r="V87"/>
      <c r="W87"/>
      <c r="X87"/>
      <c r="Y87"/>
      <c r="Z87"/>
      <c r="AA87"/>
    </row>
    <row r="88" spans="1:27" s="2" customForma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1"/>
      <c r="O88" s="31"/>
      <c r="P88" s="31"/>
      <c r="Q88" s="31"/>
      <c r="R88" s="31"/>
      <c r="V88"/>
      <c r="W88"/>
      <c r="X88"/>
      <c r="Y88"/>
      <c r="Z88"/>
      <c r="AA88"/>
    </row>
    <row r="89" spans="1:27" s="2" customForma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2"/>
      <c r="N89" s="31"/>
      <c r="O89" s="31"/>
      <c r="P89" s="31"/>
      <c r="Q89" s="31"/>
      <c r="R89" s="31"/>
      <c r="V89"/>
      <c r="W89"/>
      <c r="X89"/>
      <c r="Y89"/>
      <c r="Z89"/>
      <c r="AA89"/>
    </row>
    <row r="90" spans="1:27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O90" s="31"/>
      <c r="P90" s="31"/>
      <c r="Q90" s="31"/>
      <c r="R90" s="31"/>
    </row>
    <row r="91" spans="1:27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O91" s="31"/>
      <c r="P91" s="31"/>
      <c r="Q91" s="31"/>
      <c r="R91" s="31"/>
    </row>
    <row r="92" spans="1:27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O92" s="31"/>
      <c r="P92" s="31"/>
      <c r="Q92" s="31"/>
      <c r="R92" s="31"/>
    </row>
    <row r="93" spans="1:27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O93" s="31"/>
      <c r="P93" s="31"/>
      <c r="Q93" s="31"/>
      <c r="R93" s="31"/>
    </row>
    <row r="94" spans="1:27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O94" s="31"/>
      <c r="P94" s="31"/>
      <c r="Q94" s="31"/>
      <c r="R94" s="31"/>
    </row>
    <row r="95" spans="1:27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O95" s="31"/>
      <c r="P95" s="31"/>
      <c r="Q95" s="31"/>
      <c r="R95" s="31"/>
    </row>
  </sheetData>
  <mergeCells count="2">
    <mergeCell ref="A1:M1"/>
    <mergeCell ref="O1:R1"/>
  </mergeCells>
  <conditionalFormatting sqref="I22:I77">
    <cfRule type="expression" dxfId="0" priority="1">
      <formula>"I$26=""Training"""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FD43-595E-4592-93BD-C01ADF6F681A}">
  <dimension ref="B2:AD51"/>
  <sheetViews>
    <sheetView tabSelected="1" zoomScale="85" zoomScaleNormal="85" workbookViewId="0">
      <selection activeCell="J44" sqref="J44"/>
    </sheetView>
  </sheetViews>
  <sheetFormatPr baseColWidth="10" defaultColWidth="8.88671875" defaultRowHeight="14.4" x14ac:dyDescent="0.3"/>
  <cols>
    <col min="1" max="1" width="7.77734375" customWidth="1"/>
    <col min="2" max="2" width="12.21875" customWidth="1"/>
    <col min="4" max="4" width="12.5546875" customWidth="1"/>
    <col min="13" max="13" width="10.6640625" customWidth="1"/>
    <col min="15" max="15" width="12.77734375" customWidth="1"/>
  </cols>
  <sheetData>
    <row r="2" spans="2:30" ht="16.2" x14ac:dyDescent="0.3">
      <c r="B2" s="93" t="s">
        <v>61</v>
      </c>
      <c r="C2" s="93">
        <f>0.3*0.45</f>
        <v>0.13500000000000001</v>
      </c>
    </row>
    <row r="3" spans="2:30" ht="15.6" customHeight="1" x14ac:dyDescent="0.3">
      <c r="B3" s="94" t="s">
        <v>62</v>
      </c>
      <c r="C3" s="96">
        <v>0.85</v>
      </c>
      <c r="D3" t="s">
        <v>48</v>
      </c>
    </row>
    <row r="4" spans="2:30" x14ac:dyDescent="0.3">
      <c r="B4" s="95"/>
      <c r="C4" s="97">
        <v>1.33</v>
      </c>
      <c r="D4" t="s">
        <v>49</v>
      </c>
    </row>
    <row r="5" spans="2:30" ht="16.2" x14ac:dyDescent="0.3">
      <c r="B5" s="92" t="s">
        <v>63</v>
      </c>
      <c r="C5" s="108">
        <v>20.472000000000001</v>
      </c>
    </row>
    <row r="6" spans="2:30" x14ac:dyDescent="0.3">
      <c r="B6" s="83" t="s">
        <v>21</v>
      </c>
      <c r="C6" s="83"/>
      <c r="D6" s="83"/>
      <c r="E6" s="83"/>
      <c r="F6" s="83"/>
      <c r="G6" s="83"/>
      <c r="H6" s="83"/>
      <c r="I6" s="83"/>
      <c r="J6" s="83"/>
      <c r="K6" s="83"/>
      <c r="L6" s="84"/>
      <c r="M6" s="83" t="s">
        <v>22</v>
      </c>
      <c r="N6" s="83"/>
      <c r="O6" s="83"/>
      <c r="P6" s="83"/>
      <c r="Q6" s="83"/>
      <c r="R6" s="83"/>
      <c r="S6" s="83"/>
      <c r="T6" s="83"/>
      <c r="U6" s="83"/>
      <c r="V6" s="83"/>
      <c r="W6" s="101"/>
      <c r="Y6" s="90" t="s">
        <v>17</v>
      </c>
      <c r="Z6" s="90" t="s">
        <v>50</v>
      </c>
      <c r="AA6" s="90" t="s">
        <v>59</v>
      </c>
      <c r="AB6" s="90" t="s">
        <v>60</v>
      </c>
      <c r="AC6" s="90" t="s">
        <v>51</v>
      </c>
      <c r="AD6" s="90" t="s">
        <v>52</v>
      </c>
    </row>
    <row r="7" spans="2:30" x14ac:dyDescent="0.3">
      <c r="B7" s="98" t="s">
        <v>0</v>
      </c>
      <c r="C7" s="99" t="s">
        <v>53</v>
      </c>
      <c r="D7" s="99" t="s">
        <v>2</v>
      </c>
      <c r="E7" s="99" t="s">
        <v>3</v>
      </c>
      <c r="F7" s="99" t="s">
        <v>4</v>
      </c>
      <c r="G7" s="99" t="s">
        <v>54</v>
      </c>
      <c r="H7" s="99" t="s">
        <v>55</v>
      </c>
      <c r="I7" s="99" t="s">
        <v>56</v>
      </c>
      <c r="J7" s="99" t="s">
        <v>57</v>
      </c>
      <c r="K7" s="100" t="s">
        <v>58</v>
      </c>
      <c r="L7" s="101"/>
      <c r="M7" s="98" t="s">
        <v>0</v>
      </c>
      <c r="N7" s="99" t="s">
        <v>53</v>
      </c>
      <c r="O7" s="99" t="s">
        <v>2</v>
      </c>
      <c r="P7" s="99" t="s">
        <v>3</v>
      </c>
      <c r="Q7" s="99" t="s">
        <v>4</v>
      </c>
      <c r="R7" s="99" t="s">
        <v>54</v>
      </c>
      <c r="S7" s="99" t="s">
        <v>55</v>
      </c>
      <c r="T7" s="99" t="s">
        <v>56</v>
      </c>
      <c r="U7" s="99" t="s">
        <v>57</v>
      </c>
      <c r="V7" s="100" t="s">
        <v>58</v>
      </c>
      <c r="W7" s="109" t="s">
        <v>32</v>
      </c>
      <c r="Y7" s="16">
        <v>0</v>
      </c>
      <c r="Z7" s="16">
        <v>0</v>
      </c>
      <c r="AA7" s="16">
        <f>$Y$7</f>
        <v>0</v>
      </c>
      <c r="AB7" s="16">
        <f t="shared" ref="AB7:AD7" si="0">$Y$7</f>
        <v>0</v>
      </c>
      <c r="AC7" s="16">
        <f t="shared" si="0"/>
        <v>0</v>
      </c>
      <c r="AD7" s="16">
        <f t="shared" si="0"/>
        <v>0</v>
      </c>
    </row>
    <row r="8" spans="2:30" x14ac:dyDescent="0.3">
      <c r="B8" s="102" t="s">
        <v>8</v>
      </c>
      <c r="C8" s="77">
        <v>170</v>
      </c>
      <c r="D8" s="77" t="s">
        <v>9</v>
      </c>
      <c r="E8" s="77">
        <v>0.5</v>
      </c>
      <c r="F8" s="77">
        <v>3</v>
      </c>
      <c r="G8" s="77">
        <v>7.7242423058830347</v>
      </c>
      <c r="H8" s="77">
        <v>178.55986063999978</v>
      </c>
      <c r="I8" s="77">
        <f>$C$5*G8</f>
        <v>158.13068848603749</v>
      </c>
      <c r="J8" s="77">
        <f t="shared" ref="J8:J49" si="1">IF(B8="RT8 (15mm)",2*S_PCM*H8/m_PCM_15,2*S_PCM*H8/m_PCM_10)</f>
        <v>56.719014556235237</v>
      </c>
      <c r="K8" s="103">
        <f t="shared" ref="K8:K49" si="2">IF(B8="RT8 (15mm)",2*S_PCM*I8/m_PCM_15,2*S_PCM*I8/m_PCM_10)</f>
        <v>50.229748107329556</v>
      </c>
      <c r="L8" s="75"/>
      <c r="M8" s="102" t="s">
        <v>11</v>
      </c>
      <c r="N8" s="77">
        <v>170</v>
      </c>
      <c r="O8" s="77" t="s">
        <v>9</v>
      </c>
      <c r="P8" s="77">
        <v>0.5</v>
      </c>
      <c r="Q8" s="77">
        <v>1</v>
      </c>
      <c r="R8" s="77">
        <v>11.393531322500698</v>
      </c>
      <c r="S8" s="77">
        <v>236.18810812499981</v>
      </c>
      <c r="T8" s="77">
        <f>$C$5*R8</f>
        <v>233.24837323423429</v>
      </c>
      <c r="U8" s="77">
        <f t="shared" ref="U8:U25" si="3">IF(M8="RT8 (15mm)",2*S_PCM*S8/m_PCM_15,2*S_PCM*S8/m_PCM_10)</f>
        <v>75.024457874999953</v>
      </c>
      <c r="V8" s="103">
        <f t="shared" ref="V8:V25" si="4">IF(M8="RT8 (15mm)",2*S_PCM*T8/m_PCM_15,2*S_PCM*T8/m_PCM_10)</f>
        <v>74.090659733227369</v>
      </c>
      <c r="W8" s="110">
        <f>100*ABS(V8-U8)/U8</f>
        <v>1.244658299735278</v>
      </c>
      <c r="Y8" s="16">
        <v>200</v>
      </c>
      <c r="Z8" s="16">
        <f>Y8</f>
        <v>200</v>
      </c>
      <c r="AA8" s="16">
        <f>$Y$8*1.1</f>
        <v>220.00000000000003</v>
      </c>
      <c r="AB8" s="16">
        <f>Y8*1.2</f>
        <v>240</v>
      </c>
      <c r="AC8" s="16">
        <f>Y8*0.9</f>
        <v>180</v>
      </c>
      <c r="AD8" s="16">
        <f>Y8*0.8</f>
        <v>160</v>
      </c>
    </row>
    <row r="9" spans="2:30" x14ac:dyDescent="0.3">
      <c r="B9" s="104" t="s">
        <v>37</v>
      </c>
      <c r="C9" s="75">
        <v>170</v>
      </c>
      <c r="D9" s="75" t="s">
        <v>10</v>
      </c>
      <c r="E9" s="75">
        <v>1</v>
      </c>
      <c r="F9" s="75">
        <v>3</v>
      </c>
      <c r="G9" s="75">
        <v>17.970455508345797</v>
      </c>
      <c r="H9" s="75">
        <v>340.37905812139587</v>
      </c>
      <c r="I9" s="75">
        <f t="shared" ref="I9:I49" si="5">$C$5*G9</f>
        <v>367.89116516685516</v>
      </c>
      <c r="J9" s="75">
        <f t="shared" si="1"/>
        <v>69.099508039681865</v>
      </c>
      <c r="K9" s="105">
        <f t="shared" si="2"/>
        <v>74.684672627857822</v>
      </c>
      <c r="L9" s="75"/>
      <c r="M9" s="104" t="s">
        <v>11</v>
      </c>
      <c r="N9" s="75">
        <v>170</v>
      </c>
      <c r="O9" s="75" t="s">
        <v>9</v>
      </c>
      <c r="P9" s="75">
        <v>1</v>
      </c>
      <c r="Q9" s="75">
        <v>3</v>
      </c>
      <c r="R9" s="75">
        <v>12.285332570093937</v>
      </c>
      <c r="S9" s="75">
        <v>256.57732728687955</v>
      </c>
      <c r="T9" s="75">
        <f t="shared" ref="T9:T25" si="6">$C$5*R9</f>
        <v>251.50532837496309</v>
      </c>
      <c r="U9" s="75">
        <f t="shared" si="3"/>
        <v>81.501033373479387</v>
      </c>
      <c r="V9" s="105">
        <f t="shared" si="4"/>
        <v>79.889927836752975</v>
      </c>
      <c r="W9" s="111">
        <f t="shared" ref="W9:W25" si="7">100*ABS(V9-U9)/U9</f>
        <v>1.9767915448918345</v>
      </c>
    </row>
    <row r="10" spans="2:30" x14ac:dyDescent="0.3">
      <c r="B10" s="104" t="s">
        <v>12</v>
      </c>
      <c r="C10" s="75">
        <v>170</v>
      </c>
      <c r="D10" s="75" t="s">
        <v>10</v>
      </c>
      <c r="E10" s="75">
        <v>1</v>
      </c>
      <c r="F10" s="75">
        <v>3</v>
      </c>
      <c r="G10" s="75">
        <v>7.7994267951314553</v>
      </c>
      <c r="H10" s="75">
        <v>182.63889794765294</v>
      </c>
      <c r="I10" s="75">
        <f t="shared" si="5"/>
        <v>159.66986534993117</v>
      </c>
      <c r="J10" s="75">
        <f t="shared" si="1"/>
        <v>58.014708759842698</v>
      </c>
      <c r="K10" s="105">
        <f t="shared" si="2"/>
        <v>50.718663111154612</v>
      </c>
      <c r="L10" s="75"/>
      <c r="M10" s="104" t="s">
        <v>38</v>
      </c>
      <c r="N10" s="75">
        <v>230</v>
      </c>
      <c r="O10" s="75" t="s">
        <v>9</v>
      </c>
      <c r="P10" s="75">
        <v>0.5</v>
      </c>
      <c r="Q10" s="75">
        <v>2</v>
      </c>
      <c r="R10" s="75">
        <v>23.56542752499842</v>
      </c>
      <c r="S10" s="75">
        <v>527.06882303249881</v>
      </c>
      <c r="T10" s="75">
        <f t="shared" si="6"/>
        <v>482.43143229176769</v>
      </c>
      <c r="U10" s="75">
        <f t="shared" si="3"/>
        <v>167.42186143385257</v>
      </c>
      <c r="V10" s="105">
        <f t="shared" si="4"/>
        <v>153.24292555150271</v>
      </c>
      <c r="W10" s="111">
        <f t="shared" si="7"/>
        <v>8.4689871208676522</v>
      </c>
    </row>
    <row r="11" spans="2:30" x14ac:dyDescent="0.3">
      <c r="B11" s="104" t="s">
        <v>12</v>
      </c>
      <c r="C11" s="75">
        <v>170</v>
      </c>
      <c r="D11" s="75" t="s">
        <v>10</v>
      </c>
      <c r="E11" s="75">
        <v>0.5</v>
      </c>
      <c r="F11" s="75">
        <v>2</v>
      </c>
      <c r="G11" s="75">
        <v>11.275199999993378</v>
      </c>
      <c r="H11" s="75">
        <v>242.68199999999436</v>
      </c>
      <c r="I11" s="75">
        <f t="shared" si="5"/>
        <v>230.82589439986444</v>
      </c>
      <c r="J11" s="75">
        <f t="shared" si="1"/>
        <v>77.087223529409982</v>
      </c>
      <c r="K11" s="105">
        <f t="shared" si="2"/>
        <v>73.321166456427534</v>
      </c>
      <c r="L11" s="75"/>
      <c r="M11" s="104" t="s">
        <v>11</v>
      </c>
      <c r="N11" s="75">
        <v>170</v>
      </c>
      <c r="O11" s="75" t="s">
        <v>9</v>
      </c>
      <c r="P11" s="75">
        <v>1</v>
      </c>
      <c r="Q11" s="75">
        <v>1</v>
      </c>
      <c r="R11" s="75">
        <v>11.990650156666428</v>
      </c>
      <c r="S11" s="75">
        <v>261.17692526275403</v>
      </c>
      <c r="T11" s="75">
        <f t="shared" si="6"/>
        <v>245.47259000727513</v>
      </c>
      <c r="U11" s="75">
        <f t="shared" si="3"/>
        <v>82.962082142286576</v>
      </c>
      <c r="V11" s="105">
        <f t="shared" si="4"/>
        <v>77.973646237605038</v>
      </c>
      <c r="W11" s="111">
        <f t="shared" si="7"/>
        <v>6.012910688675789</v>
      </c>
    </row>
    <row r="12" spans="2:30" x14ac:dyDescent="0.3">
      <c r="B12" s="104" t="s">
        <v>8</v>
      </c>
      <c r="C12" s="75">
        <v>170</v>
      </c>
      <c r="D12" s="75" t="s">
        <v>9</v>
      </c>
      <c r="E12" s="75">
        <v>1</v>
      </c>
      <c r="F12" s="75">
        <v>1</v>
      </c>
      <c r="G12" s="75">
        <v>6.9743999999999957</v>
      </c>
      <c r="H12" s="75">
        <v>169.83240000000004</v>
      </c>
      <c r="I12" s="75">
        <f t="shared" si="5"/>
        <v>142.77991679999991</v>
      </c>
      <c r="J12" s="75">
        <f t="shared" si="1"/>
        <v>53.946762352941192</v>
      </c>
      <c r="K12" s="105">
        <f t="shared" si="2"/>
        <v>45.35362063058821</v>
      </c>
      <c r="L12" s="75"/>
      <c r="M12" s="104" t="s">
        <v>12</v>
      </c>
      <c r="N12" s="75">
        <v>170</v>
      </c>
      <c r="O12" s="75" t="s">
        <v>9</v>
      </c>
      <c r="P12" s="75">
        <v>1</v>
      </c>
      <c r="Q12" s="75">
        <v>3</v>
      </c>
      <c r="R12" s="75">
        <v>17.283599999999968</v>
      </c>
      <c r="S12" s="75">
        <v>360.78210000000001</v>
      </c>
      <c r="T12" s="75">
        <f t="shared" si="6"/>
        <v>353.82985919999936</v>
      </c>
      <c r="U12" s="75">
        <f t="shared" si="3"/>
        <v>114.60137294117648</v>
      </c>
      <c r="V12" s="105">
        <f t="shared" si="4"/>
        <v>112.39301409882334</v>
      </c>
      <c r="W12" s="111">
        <f t="shared" si="7"/>
        <v>1.9269916107258678</v>
      </c>
    </row>
    <row r="13" spans="2:30" x14ac:dyDescent="0.3">
      <c r="B13" s="104" t="s">
        <v>38</v>
      </c>
      <c r="C13" s="75">
        <v>230</v>
      </c>
      <c r="D13" s="75" t="s">
        <v>9</v>
      </c>
      <c r="E13" s="75">
        <v>0.5</v>
      </c>
      <c r="F13" s="75">
        <v>3</v>
      </c>
      <c r="G13" s="75">
        <v>24.450227664000003</v>
      </c>
      <c r="H13" s="75">
        <v>552.97144175999995</v>
      </c>
      <c r="I13" s="75">
        <f t="shared" si="5"/>
        <v>500.54506073740811</v>
      </c>
      <c r="J13" s="75">
        <f t="shared" si="1"/>
        <v>175.64975208847059</v>
      </c>
      <c r="K13" s="105">
        <f t="shared" si="2"/>
        <v>158.9966663518826</v>
      </c>
      <c r="L13" s="75"/>
      <c r="M13" s="104" t="s">
        <v>12</v>
      </c>
      <c r="N13" s="75">
        <v>170</v>
      </c>
      <c r="O13" s="75" t="s">
        <v>9</v>
      </c>
      <c r="P13" s="75">
        <v>0.5</v>
      </c>
      <c r="Q13" s="75">
        <v>2</v>
      </c>
      <c r="R13" s="75">
        <v>17.790648849835058</v>
      </c>
      <c r="S13" s="75">
        <v>369.31674307917132</v>
      </c>
      <c r="T13" s="75">
        <f t="shared" si="6"/>
        <v>364.21016325382334</v>
      </c>
      <c r="U13" s="75">
        <f t="shared" si="3"/>
        <v>117.31237721338384</v>
      </c>
      <c r="V13" s="105">
        <f t="shared" si="4"/>
        <v>115.69028715121448</v>
      </c>
      <c r="W13" s="111">
        <f t="shared" si="7"/>
        <v>1.3827100777430186</v>
      </c>
    </row>
    <row r="14" spans="2:30" x14ac:dyDescent="0.3">
      <c r="B14" s="104" t="s">
        <v>11</v>
      </c>
      <c r="C14" s="75">
        <v>170</v>
      </c>
      <c r="D14" s="75" t="s">
        <v>10</v>
      </c>
      <c r="E14" s="75">
        <v>1</v>
      </c>
      <c r="F14" s="75">
        <v>3</v>
      </c>
      <c r="G14" s="75">
        <v>11.550733538461678</v>
      </c>
      <c r="H14" s="75">
        <v>217.6355087985477</v>
      </c>
      <c r="I14" s="75">
        <f t="shared" si="5"/>
        <v>236.4666169993875</v>
      </c>
      <c r="J14" s="75">
        <f t="shared" si="1"/>
        <v>69.131279265421043</v>
      </c>
      <c r="K14" s="105">
        <f t="shared" si="2"/>
        <v>75.112925399805448</v>
      </c>
      <c r="L14" s="75"/>
      <c r="M14" s="104" t="s">
        <v>37</v>
      </c>
      <c r="N14" s="75">
        <v>170</v>
      </c>
      <c r="O14" s="75" t="s">
        <v>9</v>
      </c>
      <c r="P14" s="75">
        <v>1</v>
      </c>
      <c r="Q14" s="75">
        <v>2</v>
      </c>
      <c r="R14" s="75">
        <v>20.233381415732683</v>
      </c>
      <c r="S14" s="75">
        <v>404.99093146994852</v>
      </c>
      <c r="T14" s="75">
        <f t="shared" si="6"/>
        <v>414.2177843428795</v>
      </c>
      <c r="U14" s="75">
        <f t="shared" si="3"/>
        <v>82.216204132997078</v>
      </c>
      <c r="V14" s="105">
        <f t="shared" si="4"/>
        <v>84.089324641035688</v>
      </c>
      <c r="W14" s="111">
        <f t="shared" si="7"/>
        <v>2.2782862913599806</v>
      </c>
    </row>
    <row r="15" spans="2:30" x14ac:dyDescent="0.3">
      <c r="B15" s="104" t="s">
        <v>8</v>
      </c>
      <c r="C15" s="75">
        <v>170</v>
      </c>
      <c r="D15" s="75" t="s">
        <v>9</v>
      </c>
      <c r="E15" s="75">
        <v>0.5</v>
      </c>
      <c r="F15" s="75">
        <v>2</v>
      </c>
      <c r="G15" s="75">
        <v>8.9898000000008089</v>
      </c>
      <c r="H15" s="75">
        <v>184.20239999999984</v>
      </c>
      <c r="I15" s="75">
        <f t="shared" si="5"/>
        <v>184.03918560001657</v>
      </c>
      <c r="J15" s="75">
        <f t="shared" si="1"/>
        <v>58.511350588235246</v>
      </c>
      <c r="K15" s="105">
        <f t="shared" si="2"/>
        <v>58.459506014122915</v>
      </c>
      <c r="L15" s="75"/>
      <c r="M15" s="104" t="s">
        <v>8</v>
      </c>
      <c r="N15" s="75">
        <v>170</v>
      </c>
      <c r="O15" s="75" t="s">
        <v>9</v>
      </c>
      <c r="P15" s="75">
        <v>0.5</v>
      </c>
      <c r="Q15" s="75">
        <v>1</v>
      </c>
      <c r="R15" s="75">
        <v>9.9350536485328842</v>
      </c>
      <c r="S15" s="75">
        <v>186.11332479736413</v>
      </c>
      <c r="T15" s="75">
        <f t="shared" si="6"/>
        <v>203.39041829276522</v>
      </c>
      <c r="U15" s="75">
        <f t="shared" si="3"/>
        <v>59.118350229750966</v>
      </c>
      <c r="V15" s="105">
        <f t="shared" si="4"/>
        <v>64.60636816358425</v>
      </c>
      <c r="W15" s="111">
        <f t="shared" si="7"/>
        <v>9.2831039981752905</v>
      </c>
    </row>
    <row r="16" spans="2:30" x14ac:dyDescent="0.3">
      <c r="B16" s="104" t="s">
        <v>8</v>
      </c>
      <c r="C16" s="75">
        <v>170</v>
      </c>
      <c r="D16" s="75" t="s">
        <v>10</v>
      </c>
      <c r="E16" s="75">
        <v>1</v>
      </c>
      <c r="F16" s="75">
        <v>2</v>
      </c>
      <c r="G16" s="75">
        <v>9.3620263278695397</v>
      </c>
      <c r="H16" s="75">
        <v>159.24805774971136</v>
      </c>
      <c r="I16" s="75">
        <f t="shared" si="5"/>
        <v>191.65940298414523</v>
      </c>
      <c r="J16" s="75">
        <f t="shared" si="1"/>
        <v>50.584677167555377</v>
      </c>
      <c r="K16" s="105">
        <f t="shared" si="2"/>
        <v>60.88004565378732</v>
      </c>
      <c r="L16" s="75"/>
      <c r="M16" s="104" t="s">
        <v>11</v>
      </c>
      <c r="N16" s="75">
        <v>170</v>
      </c>
      <c r="O16" s="75" t="s">
        <v>9</v>
      </c>
      <c r="P16" s="75">
        <v>0.5</v>
      </c>
      <c r="Q16" s="75">
        <v>2</v>
      </c>
      <c r="R16" s="75">
        <v>11.77665961250081</v>
      </c>
      <c r="S16" s="75">
        <v>233.4736145374998</v>
      </c>
      <c r="T16" s="75">
        <f t="shared" si="6"/>
        <v>241.09177558711659</v>
      </c>
      <c r="U16" s="75">
        <f t="shared" si="3"/>
        <v>74.162206970735241</v>
      </c>
      <c r="V16" s="105">
        <f t="shared" si="4"/>
        <v>76.582093421789992</v>
      </c>
      <c r="W16" s="111">
        <f t="shared" si="7"/>
        <v>3.262964453053089</v>
      </c>
    </row>
    <row r="17" spans="2:23" x14ac:dyDescent="0.3">
      <c r="B17" s="104" t="s">
        <v>37</v>
      </c>
      <c r="C17" s="75">
        <v>170</v>
      </c>
      <c r="D17" s="75" t="s">
        <v>10</v>
      </c>
      <c r="E17" s="75">
        <v>1</v>
      </c>
      <c r="F17" s="75">
        <v>1</v>
      </c>
      <c r="G17" s="75">
        <v>14.619000000000637</v>
      </c>
      <c r="H17" s="75">
        <v>301.61215956541196</v>
      </c>
      <c r="I17" s="75">
        <f t="shared" si="5"/>
        <v>299.28016800001308</v>
      </c>
      <c r="J17" s="75">
        <f t="shared" si="1"/>
        <v>61.229536152376859</v>
      </c>
      <c r="K17" s="105">
        <f t="shared" si="2"/>
        <v>60.756124330829728</v>
      </c>
      <c r="L17" s="75"/>
      <c r="M17" s="104" t="s">
        <v>11</v>
      </c>
      <c r="N17" s="75">
        <v>170</v>
      </c>
      <c r="O17" s="75" t="s">
        <v>9</v>
      </c>
      <c r="P17" s="75">
        <v>1</v>
      </c>
      <c r="Q17" s="75">
        <v>2</v>
      </c>
      <c r="R17" s="75">
        <v>12.414593957682301</v>
      </c>
      <c r="S17" s="75">
        <v>251.89549266775174</v>
      </c>
      <c r="T17" s="75">
        <f t="shared" si="6"/>
        <v>254.1515675016721</v>
      </c>
      <c r="U17" s="75">
        <f t="shared" si="3"/>
        <v>80.013862376815268</v>
      </c>
      <c r="V17" s="105">
        <f t="shared" si="4"/>
        <v>80.73049791229586</v>
      </c>
      <c r="W17" s="111">
        <f t="shared" si="7"/>
        <v>0.89563922324569989</v>
      </c>
    </row>
    <row r="18" spans="2:23" x14ac:dyDescent="0.3">
      <c r="B18" s="104" t="s">
        <v>11</v>
      </c>
      <c r="C18" s="75">
        <v>170</v>
      </c>
      <c r="D18" s="75" t="s">
        <v>10</v>
      </c>
      <c r="E18" s="75">
        <v>1</v>
      </c>
      <c r="F18" s="75">
        <v>2</v>
      </c>
      <c r="G18" s="75">
        <v>11.370389065312706</v>
      </c>
      <c r="H18" s="75">
        <v>218.07088535308668</v>
      </c>
      <c r="I18" s="75">
        <f t="shared" si="5"/>
        <v>232.77460494508173</v>
      </c>
      <c r="J18" s="75">
        <f t="shared" si="1"/>
        <v>69.269575347451067</v>
      </c>
      <c r="K18" s="105">
        <f t="shared" si="2"/>
        <v>73.940168629614206</v>
      </c>
      <c r="L18" s="75"/>
      <c r="M18" s="104" t="s">
        <v>12</v>
      </c>
      <c r="N18" s="75">
        <v>170</v>
      </c>
      <c r="O18" s="75" t="s">
        <v>10</v>
      </c>
      <c r="P18" s="75">
        <v>0.5</v>
      </c>
      <c r="Q18" s="75">
        <v>1</v>
      </c>
      <c r="R18" s="75">
        <v>10.12844069601827</v>
      </c>
      <c r="S18" s="75">
        <v>212.52860331422897</v>
      </c>
      <c r="T18" s="75">
        <f t="shared" si="6"/>
        <v>207.34943792888603</v>
      </c>
      <c r="U18" s="75">
        <f t="shared" si="3"/>
        <v>67.50908575863744</v>
      </c>
      <c r="V18" s="105">
        <f t="shared" si="4"/>
        <v>65.863939106822627</v>
      </c>
      <c r="W18" s="111">
        <f t="shared" si="7"/>
        <v>2.4369262793702169</v>
      </c>
    </row>
    <row r="19" spans="2:23" x14ac:dyDescent="0.3">
      <c r="B19" s="104" t="s">
        <v>12</v>
      </c>
      <c r="C19" s="75">
        <v>170</v>
      </c>
      <c r="D19" s="75" t="s">
        <v>10</v>
      </c>
      <c r="E19" s="75">
        <v>0.5</v>
      </c>
      <c r="F19" s="75">
        <v>3</v>
      </c>
      <c r="G19" s="75">
        <v>12.827573007786603</v>
      </c>
      <c r="H19" s="75">
        <v>256.02550949111617</v>
      </c>
      <c r="I19" s="75">
        <f t="shared" si="5"/>
        <v>262.60607461540735</v>
      </c>
      <c r="J19" s="75">
        <f t="shared" si="1"/>
        <v>81.325750073648678</v>
      </c>
      <c r="K19" s="105">
        <f t="shared" si="2"/>
        <v>83.416047230776456</v>
      </c>
      <c r="L19" s="75"/>
      <c r="M19" s="104" t="s">
        <v>11</v>
      </c>
      <c r="N19" s="75">
        <v>170</v>
      </c>
      <c r="O19" s="75" t="s">
        <v>9</v>
      </c>
      <c r="P19" s="75">
        <v>0.5</v>
      </c>
      <c r="Q19" s="75">
        <v>3</v>
      </c>
      <c r="R19" s="75">
        <v>14.158822452174912</v>
      </c>
      <c r="S19" s="75">
        <v>270.25498746086953</v>
      </c>
      <c r="T19" s="75">
        <f t="shared" si="6"/>
        <v>289.85941324092482</v>
      </c>
      <c r="U19" s="75">
        <f t="shared" si="3"/>
        <v>85.84570189933504</v>
      </c>
      <c r="V19" s="105">
        <f t="shared" si="4"/>
        <v>92.072990088293778</v>
      </c>
      <c r="W19" s="111">
        <f t="shared" si="7"/>
        <v>7.2540477288671044</v>
      </c>
    </row>
    <row r="20" spans="2:23" x14ac:dyDescent="0.3">
      <c r="B20" s="104" t="s">
        <v>38</v>
      </c>
      <c r="C20" s="75">
        <v>230</v>
      </c>
      <c r="D20" s="75" t="s">
        <v>9</v>
      </c>
      <c r="E20" s="75">
        <v>0.5</v>
      </c>
      <c r="F20" s="75">
        <v>1</v>
      </c>
      <c r="G20" s="75">
        <v>25.133748384813632</v>
      </c>
      <c r="H20" s="75">
        <v>559.05236689916728</v>
      </c>
      <c r="I20" s="75">
        <f t="shared" si="5"/>
        <v>514.53809693390474</v>
      </c>
      <c r="J20" s="75">
        <f t="shared" si="1"/>
        <v>177.58134007385317</v>
      </c>
      <c r="K20" s="105">
        <f t="shared" si="2"/>
        <v>163.44151314371095</v>
      </c>
      <c r="L20" s="75"/>
      <c r="M20" s="104" t="s">
        <v>8</v>
      </c>
      <c r="N20" s="75">
        <v>170</v>
      </c>
      <c r="O20" s="75" t="s">
        <v>10</v>
      </c>
      <c r="P20" s="75">
        <v>1</v>
      </c>
      <c r="Q20" s="75">
        <v>3</v>
      </c>
      <c r="R20" s="75">
        <v>7.872829771852226</v>
      </c>
      <c r="S20" s="75">
        <v>156.15565369073173</v>
      </c>
      <c r="T20" s="75">
        <f t="shared" si="6"/>
        <v>161.17257108935877</v>
      </c>
      <c r="U20" s="75">
        <f t="shared" si="3"/>
        <v>49.602384113526554</v>
      </c>
      <c r="V20" s="105">
        <f t="shared" si="4"/>
        <v>51.195993169561021</v>
      </c>
      <c r="W20" s="111">
        <f t="shared" si="7"/>
        <v>3.2127670564929356</v>
      </c>
    </row>
    <row r="21" spans="2:23" x14ac:dyDescent="0.3">
      <c r="B21" s="104" t="s">
        <v>37</v>
      </c>
      <c r="C21" s="75">
        <v>170</v>
      </c>
      <c r="D21" s="75" t="s">
        <v>9</v>
      </c>
      <c r="E21" s="75">
        <v>1</v>
      </c>
      <c r="F21" s="75">
        <v>3</v>
      </c>
      <c r="G21" s="75">
        <v>21.178307900317577</v>
      </c>
      <c r="H21" s="75">
        <v>403.6620200942827</v>
      </c>
      <c r="I21" s="75">
        <f t="shared" si="5"/>
        <v>433.56231933530148</v>
      </c>
      <c r="J21" s="75">
        <f t="shared" si="1"/>
        <v>81.946425131922041</v>
      </c>
      <c r="K21" s="105">
        <f t="shared" si="2"/>
        <v>88.016410692128872</v>
      </c>
      <c r="L21" s="75"/>
      <c r="M21" s="104" t="s">
        <v>11</v>
      </c>
      <c r="N21" s="75">
        <v>170</v>
      </c>
      <c r="O21" s="75" t="s">
        <v>10</v>
      </c>
      <c r="P21" s="75">
        <v>1</v>
      </c>
      <c r="Q21" s="75">
        <v>1</v>
      </c>
      <c r="R21" s="75">
        <v>11.064381075029758</v>
      </c>
      <c r="S21" s="75">
        <v>222.77243533078848</v>
      </c>
      <c r="T21" s="75">
        <f t="shared" si="6"/>
        <v>226.51000936800921</v>
      </c>
      <c r="U21" s="75">
        <f t="shared" si="3"/>
        <v>70.763008869779881</v>
      </c>
      <c r="V21" s="105">
        <f t="shared" si="4"/>
        <v>71.950238269838223</v>
      </c>
      <c r="W21" s="111">
        <f t="shared" si="7"/>
        <v>1.6777542659938556</v>
      </c>
    </row>
    <row r="22" spans="2:23" x14ac:dyDescent="0.3">
      <c r="B22" s="104" t="s">
        <v>37</v>
      </c>
      <c r="C22" s="75">
        <v>170</v>
      </c>
      <c r="D22" s="75" t="s">
        <v>9</v>
      </c>
      <c r="E22" s="75">
        <v>0.5</v>
      </c>
      <c r="F22" s="75">
        <v>3</v>
      </c>
      <c r="G22" s="75">
        <v>16.33920000000073</v>
      </c>
      <c r="H22" s="75">
        <v>353.55864367151293</v>
      </c>
      <c r="I22" s="75">
        <f t="shared" si="5"/>
        <v>334.49610240001499</v>
      </c>
      <c r="J22" s="75">
        <f t="shared" si="1"/>
        <v>71.775063000983835</v>
      </c>
      <c r="K22" s="105">
        <f t="shared" si="2"/>
        <v>67.905223795491764</v>
      </c>
      <c r="L22" s="75"/>
      <c r="M22" s="104" t="s">
        <v>37</v>
      </c>
      <c r="N22" s="75">
        <v>170</v>
      </c>
      <c r="O22" s="75" t="s">
        <v>9</v>
      </c>
      <c r="P22" s="75">
        <v>0.5</v>
      </c>
      <c r="Q22" s="75">
        <v>1</v>
      </c>
      <c r="R22" s="75">
        <v>19.795800000000789</v>
      </c>
      <c r="S22" s="75">
        <v>417.0263999999998</v>
      </c>
      <c r="T22" s="75">
        <f t="shared" si="6"/>
        <v>405.25961760001616</v>
      </c>
      <c r="U22" s="75">
        <f t="shared" si="3"/>
        <v>84.659494736842063</v>
      </c>
      <c r="V22" s="105">
        <f t="shared" si="4"/>
        <v>82.27074943759726</v>
      </c>
      <c r="W22" s="111">
        <f t="shared" si="7"/>
        <v>2.8215917265630344</v>
      </c>
    </row>
    <row r="23" spans="2:23" x14ac:dyDescent="0.3">
      <c r="B23" s="104" t="s">
        <v>38</v>
      </c>
      <c r="C23" s="75">
        <v>230</v>
      </c>
      <c r="D23" s="75" t="s">
        <v>9</v>
      </c>
      <c r="E23" s="75">
        <v>1</v>
      </c>
      <c r="F23" s="75">
        <v>1</v>
      </c>
      <c r="G23" s="75">
        <v>26.190323511765527</v>
      </c>
      <c r="H23" s="75">
        <v>521.36237802390303</v>
      </c>
      <c r="I23" s="75">
        <f t="shared" si="5"/>
        <v>536.16830293286387</v>
      </c>
      <c r="J23" s="75">
        <f t="shared" si="1"/>
        <v>165.60922596053391</v>
      </c>
      <c r="K23" s="105">
        <f t="shared" si="2"/>
        <v>170.31228446102736</v>
      </c>
      <c r="L23" s="75"/>
      <c r="M23" s="104" t="s">
        <v>11</v>
      </c>
      <c r="N23" s="75">
        <v>170</v>
      </c>
      <c r="O23" s="75" t="s">
        <v>10</v>
      </c>
      <c r="P23" s="75">
        <v>0.5</v>
      </c>
      <c r="Q23" s="75">
        <v>1</v>
      </c>
      <c r="R23" s="75">
        <v>12.236660066643104</v>
      </c>
      <c r="S23" s="75">
        <v>246.42412532412126</v>
      </c>
      <c r="T23" s="75">
        <f t="shared" si="6"/>
        <v>250.50890488431764</v>
      </c>
      <c r="U23" s="75">
        <f t="shared" si="3"/>
        <v>78.275898632367941</v>
      </c>
      <c r="V23" s="105">
        <f t="shared" si="4"/>
        <v>79.573416845606801</v>
      </c>
      <c r="W23" s="111">
        <f t="shared" si="7"/>
        <v>1.657621612666254</v>
      </c>
    </row>
    <row r="24" spans="2:23" x14ac:dyDescent="0.3">
      <c r="B24" s="104" t="s">
        <v>38</v>
      </c>
      <c r="C24" s="75">
        <v>230</v>
      </c>
      <c r="D24" s="75" t="s">
        <v>10</v>
      </c>
      <c r="E24" s="75">
        <v>0.5</v>
      </c>
      <c r="F24" s="75">
        <v>1</v>
      </c>
      <c r="G24" s="75">
        <v>22.067685978047887</v>
      </c>
      <c r="H24" s="75">
        <v>530.44121365596561</v>
      </c>
      <c r="I24" s="75">
        <f t="shared" si="5"/>
        <v>451.76966734259639</v>
      </c>
      <c r="J24" s="75">
        <f t="shared" si="1"/>
        <v>168.49309139660087</v>
      </c>
      <c r="K24" s="105">
        <f t="shared" si="2"/>
        <v>143.50330609706003</v>
      </c>
      <c r="L24" s="75"/>
      <c r="M24" s="104" t="s">
        <v>12</v>
      </c>
      <c r="N24" s="75">
        <v>170</v>
      </c>
      <c r="O24" s="75" t="s">
        <v>9</v>
      </c>
      <c r="P24" s="75">
        <v>0.5</v>
      </c>
      <c r="Q24" s="75">
        <v>3</v>
      </c>
      <c r="R24" s="75">
        <v>15.972408843058197</v>
      </c>
      <c r="S24" s="75">
        <v>309.82490270263133</v>
      </c>
      <c r="T24" s="75">
        <f t="shared" si="6"/>
        <v>326.98715383508744</v>
      </c>
      <c r="U24" s="75">
        <f t="shared" si="3"/>
        <v>98.414969093777017</v>
      </c>
      <c r="V24" s="105">
        <f t="shared" si="4"/>
        <v>103.8665076887925</v>
      </c>
      <c r="W24" s="111">
        <f t="shared" si="7"/>
        <v>5.5393388274306634</v>
      </c>
    </row>
    <row r="25" spans="2:23" x14ac:dyDescent="0.3">
      <c r="B25" s="104" t="s">
        <v>38</v>
      </c>
      <c r="C25" s="75">
        <v>230</v>
      </c>
      <c r="D25" s="75" t="s">
        <v>10</v>
      </c>
      <c r="E25" s="75">
        <v>1</v>
      </c>
      <c r="F25" s="75">
        <v>1</v>
      </c>
      <c r="G25" s="75">
        <v>27.071048094113479</v>
      </c>
      <c r="H25" s="75">
        <v>497.44749309176234</v>
      </c>
      <c r="I25" s="75">
        <f t="shared" si="5"/>
        <v>554.19849658269118</v>
      </c>
      <c r="J25" s="75">
        <f t="shared" si="1"/>
        <v>158.01273309973627</v>
      </c>
      <c r="K25" s="105">
        <f t="shared" si="2"/>
        <v>176.03952244391368</v>
      </c>
      <c r="L25" s="75"/>
      <c r="M25" s="106" t="s">
        <v>38</v>
      </c>
      <c r="N25" s="78">
        <v>230</v>
      </c>
      <c r="O25" s="78" t="s">
        <v>10</v>
      </c>
      <c r="P25" s="78">
        <v>0.5</v>
      </c>
      <c r="Q25" s="78">
        <v>2</v>
      </c>
      <c r="R25" s="78">
        <v>22.836000000008426</v>
      </c>
      <c r="S25" s="78">
        <v>554.20560000000489</v>
      </c>
      <c r="T25" s="78">
        <f t="shared" si="6"/>
        <v>467.49859200017249</v>
      </c>
      <c r="U25" s="78">
        <f t="shared" si="3"/>
        <v>176.04177882353099</v>
      </c>
      <c r="V25" s="107">
        <f t="shared" si="4"/>
        <v>148.49955275299598</v>
      </c>
      <c r="W25" s="112">
        <f t="shared" si="7"/>
        <v>15.645278214408453</v>
      </c>
    </row>
    <row r="26" spans="2:23" x14ac:dyDescent="0.3">
      <c r="B26" s="104" t="s">
        <v>38</v>
      </c>
      <c r="C26" s="75">
        <v>230</v>
      </c>
      <c r="D26" s="75" t="s">
        <v>9</v>
      </c>
      <c r="E26" s="75">
        <v>1</v>
      </c>
      <c r="F26" s="75">
        <v>2</v>
      </c>
      <c r="G26" s="75">
        <v>27.339335607030392</v>
      </c>
      <c r="H26" s="75">
        <v>517.33538910520599</v>
      </c>
      <c r="I26" s="75">
        <f t="shared" si="5"/>
        <v>559.6908785471262</v>
      </c>
      <c r="J26" s="75">
        <f t="shared" si="1"/>
        <v>164.33006477459486</v>
      </c>
      <c r="K26" s="105">
        <f t="shared" si="2"/>
        <v>177.78416142085189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</row>
    <row r="27" spans="2:23" x14ac:dyDescent="0.3">
      <c r="B27" s="104" t="s">
        <v>37</v>
      </c>
      <c r="C27" s="75">
        <v>170</v>
      </c>
      <c r="D27" s="75" t="s">
        <v>9</v>
      </c>
      <c r="E27" s="75">
        <v>1</v>
      </c>
      <c r="F27" s="75">
        <v>1</v>
      </c>
      <c r="G27" s="75">
        <v>20.136299999999675</v>
      </c>
      <c r="H27" s="75">
        <v>422.07809643010341</v>
      </c>
      <c r="I27" s="75">
        <f t="shared" si="5"/>
        <v>412.2303335999934</v>
      </c>
      <c r="J27" s="75">
        <f t="shared" si="1"/>
        <v>85.685027094833018</v>
      </c>
      <c r="K27" s="105">
        <f t="shared" si="2"/>
        <v>83.685857196991137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pans="2:23" x14ac:dyDescent="0.3">
      <c r="B28" s="104" t="s">
        <v>12</v>
      </c>
      <c r="C28" s="75">
        <v>170</v>
      </c>
      <c r="D28" s="75" t="s">
        <v>9</v>
      </c>
      <c r="E28" s="75">
        <v>1</v>
      </c>
      <c r="F28" s="75">
        <v>1</v>
      </c>
      <c r="G28" s="75">
        <v>19.086000000000098</v>
      </c>
      <c r="H28" s="75">
        <v>387.39479999999998</v>
      </c>
      <c r="I28" s="75">
        <f t="shared" si="5"/>
        <v>390.72859200000204</v>
      </c>
      <c r="J28" s="75">
        <f t="shared" si="1"/>
        <v>123.05481882352942</v>
      </c>
      <c r="K28" s="105">
        <f t="shared" si="2"/>
        <v>124.11378804705947</v>
      </c>
      <c r="L28" s="75"/>
      <c r="M28" s="75"/>
      <c r="N28" s="75"/>
      <c r="O28" s="75"/>
      <c r="P28" s="75"/>
      <c r="Q28" s="75"/>
      <c r="R28" s="75"/>
      <c r="S28" s="75"/>
      <c r="T28" s="75"/>
      <c r="U28" s="113" t="s">
        <v>64</v>
      </c>
      <c r="V28" s="114"/>
      <c r="W28" s="91">
        <f>AVERAGE(W8:W25)</f>
        <v>4.2765760566814457</v>
      </c>
    </row>
    <row r="29" spans="2:23" x14ac:dyDescent="0.3">
      <c r="B29" s="104" t="s">
        <v>38</v>
      </c>
      <c r="C29" s="75">
        <v>230</v>
      </c>
      <c r="D29" s="75" t="s">
        <v>10</v>
      </c>
      <c r="E29" s="75">
        <v>0.5</v>
      </c>
      <c r="F29" s="75">
        <v>3</v>
      </c>
      <c r="G29" s="75">
        <v>22.422000000000001</v>
      </c>
      <c r="H29" s="75">
        <v>526.93979999999988</v>
      </c>
      <c r="I29" s="75">
        <f t="shared" si="5"/>
        <v>459.02318400000001</v>
      </c>
      <c r="J29" s="75">
        <f t="shared" si="1"/>
        <v>167.38087764705881</v>
      </c>
      <c r="K29" s="105">
        <f t="shared" si="2"/>
        <v>145.80736432941177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2:23" x14ac:dyDescent="0.3">
      <c r="B30" s="104" t="s">
        <v>11</v>
      </c>
      <c r="C30" s="75">
        <v>170</v>
      </c>
      <c r="D30" s="75" t="s">
        <v>10</v>
      </c>
      <c r="E30" s="75">
        <v>0.5</v>
      </c>
      <c r="F30" s="75">
        <v>3</v>
      </c>
      <c r="G30" s="75">
        <v>13.394999999995163</v>
      </c>
      <c r="H30" s="75">
        <v>240.30809999999769</v>
      </c>
      <c r="I30" s="75">
        <f t="shared" si="5"/>
        <v>274.22243999990098</v>
      </c>
      <c r="J30" s="75">
        <f t="shared" si="1"/>
        <v>76.333161176469858</v>
      </c>
      <c r="K30" s="105">
        <f t="shared" si="2"/>
        <v>87.10595152938032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</row>
    <row r="31" spans="2:23" x14ac:dyDescent="0.3">
      <c r="B31" s="104" t="s">
        <v>38</v>
      </c>
      <c r="C31" s="75">
        <v>230</v>
      </c>
      <c r="D31" s="75" t="s">
        <v>10</v>
      </c>
      <c r="E31" s="75">
        <v>1</v>
      </c>
      <c r="F31" s="75">
        <v>3</v>
      </c>
      <c r="G31" s="75">
        <v>26.999051764701608</v>
      </c>
      <c r="H31" s="75">
        <v>498.93304243764453</v>
      </c>
      <c r="I31" s="75">
        <f t="shared" si="5"/>
        <v>552.72458772697132</v>
      </c>
      <c r="J31" s="75">
        <f t="shared" si="1"/>
        <v>158.48461348019299</v>
      </c>
      <c r="K31" s="105">
        <f t="shared" si="2"/>
        <v>175.57133963092033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2:23" x14ac:dyDescent="0.3">
      <c r="B32" s="104" t="s">
        <v>37</v>
      </c>
      <c r="C32" s="75">
        <v>170</v>
      </c>
      <c r="D32" s="75" t="s">
        <v>10</v>
      </c>
      <c r="E32" s="75">
        <v>0.5</v>
      </c>
      <c r="F32" s="75">
        <v>1</v>
      </c>
      <c r="G32" s="75">
        <v>16.090530088193475</v>
      </c>
      <c r="H32" s="75">
        <v>334.92233180419038</v>
      </c>
      <c r="I32" s="75">
        <f t="shared" si="5"/>
        <v>329.40533196549683</v>
      </c>
      <c r="J32" s="75">
        <f t="shared" si="1"/>
        <v>67.991751569271727</v>
      </c>
      <c r="K32" s="105">
        <f t="shared" si="2"/>
        <v>66.871759120815142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</row>
    <row r="33" spans="2:23" x14ac:dyDescent="0.3">
      <c r="B33" s="104" t="s">
        <v>37</v>
      </c>
      <c r="C33" s="75">
        <v>170</v>
      </c>
      <c r="D33" s="75" t="s">
        <v>10</v>
      </c>
      <c r="E33" s="75">
        <v>1</v>
      </c>
      <c r="F33" s="75">
        <v>2</v>
      </c>
      <c r="G33" s="75">
        <v>17.935800000001304</v>
      </c>
      <c r="H33" s="75">
        <v>365.21590909090946</v>
      </c>
      <c r="I33" s="75">
        <f t="shared" si="5"/>
        <v>367.18169760002672</v>
      </c>
      <c r="J33" s="75">
        <f t="shared" si="1"/>
        <v>74.141575529733501</v>
      </c>
      <c r="K33" s="105">
        <f t="shared" si="2"/>
        <v>74.540645377449039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</row>
    <row r="34" spans="2:23" x14ac:dyDescent="0.3">
      <c r="B34" s="104" t="s">
        <v>37</v>
      </c>
      <c r="C34" s="75">
        <v>170</v>
      </c>
      <c r="D34" s="75" t="s">
        <v>10</v>
      </c>
      <c r="E34" s="75">
        <v>0.5</v>
      </c>
      <c r="F34" s="75">
        <v>3</v>
      </c>
      <c r="G34" s="75">
        <v>15.294906027162751</v>
      </c>
      <c r="H34" s="75">
        <v>318.35937208508204</v>
      </c>
      <c r="I34" s="75">
        <f t="shared" si="5"/>
        <v>313.11731618807585</v>
      </c>
      <c r="J34" s="75">
        <f t="shared" si="1"/>
        <v>64.629346212761021</v>
      </c>
      <c r="K34" s="105">
        <f t="shared" si="2"/>
        <v>63.565169451714645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</row>
    <row r="35" spans="2:23" x14ac:dyDescent="0.3">
      <c r="B35" s="104" t="s">
        <v>38</v>
      </c>
      <c r="C35" s="75">
        <v>230</v>
      </c>
      <c r="D35" s="75" t="s">
        <v>10</v>
      </c>
      <c r="E35" s="75">
        <v>1</v>
      </c>
      <c r="F35" s="75">
        <v>2</v>
      </c>
      <c r="G35" s="75">
        <v>22.284430163528512</v>
      </c>
      <c r="H35" s="75">
        <v>438.58518732334858</v>
      </c>
      <c r="I35" s="75">
        <f t="shared" si="5"/>
        <v>456.20685430775575</v>
      </c>
      <c r="J35" s="75">
        <f t="shared" si="1"/>
        <v>139.3152947968284</v>
      </c>
      <c r="K35" s="105">
        <f t="shared" si="2"/>
        <v>144.91276548599302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</row>
    <row r="36" spans="2:23" x14ac:dyDescent="0.3">
      <c r="B36" s="104" t="s">
        <v>12</v>
      </c>
      <c r="C36" s="75">
        <v>170</v>
      </c>
      <c r="D36" s="75" t="s">
        <v>10</v>
      </c>
      <c r="E36" s="75">
        <v>1</v>
      </c>
      <c r="F36" s="75">
        <v>1</v>
      </c>
      <c r="G36" s="75">
        <v>13.042056671598727</v>
      </c>
      <c r="H36" s="75">
        <v>266.10625346834951</v>
      </c>
      <c r="I36" s="75">
        <f t="shared" si="5"/>
        <v>266.99698418096915</v>
      </c>
      <c r="J36" s="75">
        <f t="shared" si="1"/>
        <v>84.527868748769848</v>
      </c>
      <c r="K36" s="105">
        <f t="shared" si="2"/>
        <v>84.810806739837275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</row>
    <row r="37" spans="2:23" x14ac:dyDescent="0.3">
      <c r="B37" s="104" t="s">
        <v>8</v>
      </c>
      <c r="C37" s="75">
        <v>170</v>
      </c>
      <c r="D37" s="75" t="s">
        <v>10</v>
      </c>
      <c r="E37" s="75">
        <v>0.5</v>
      </c>
      <c r="F37" s="75">
        <v>2</v>
      </c>
      <c r="G37" s="75">
        <v>6.9327748784655023</v>
      </c>
      <c r="H37" s="75">
        <v>136.08228581679037</v>
      </c>
      <c r="I37" s="75">
        <f t="shared" si="5"/>
        <v>141.92776731194579</v>
      </c>
      <c r="J37" s="75">
        <f t="shared" si="1"/>
        <v>43.226137847686353</v>
      </c>
      <c r="K37" s="105">
        <f t="shared" si="2"/>
        <v>45.082937852029843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</row>
    <row r="38" spans="2:23" x14ac:dyDescent="0.3">
      <c r="B38" s="104" t="s">
        <v>12</v>
      </c>
      <c r="C38" s="75">
        <v>170</v>
      </c>
      <c r="D38" s="75" t="s">
        <v>9</v>
      </c>
      <c r="E38" s="75">
        <v>1</v>
      </c>
      <c r="F38" s="75">
        <v>2</v>
      </c>
      <c r="G38" s="75">
        <v>17.790648849835058</v>
      </c>
      <c r="H38" s="75">
        <v>369.31674307917132</v>
      </c>
      <c r="I38" s="75">
        <f t="shared" si="5"/>
        <v>364.21016325382334</v>
      </c>
      <c r="J38" s="75">
        <f t="shared" si="1"/>
        <v>117.31237721338384</v>
      </c>
      <c r="K38" s="105">
        <f t="shared" si="2"/>
        <v>115.69028715121448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</row>
    <row r="39" spans="2:23" x14ac:dyDescent="0.3">
      <c r="B39" s="104" t="s">
        <v>38</v>
      </c>
      <c r="C39" s="75">
        <v>230</v>
      </c>
      <c r="D39" s="75" t="s">
        <v>9</v>
      </c>
      <c r="E39" s="75">
        <v>1</v>
      </c>
      <c r="F39" s="75">
        <v>3</v>
      </c>
      <c r="G39" s="75">
        <v>25.152330906320181</v>
      </c>
      <c r="H39" s="75">
        <v>531.35713106848095</v>
      </c>
      <c r="I39" s="75">
        <f t="shared" si="5"/>
        <v>514.91851831418683</v>
      </c>
      <c r="J39" s="75">
        <f t="shared" si="1"/>
        <v>168.78402986881159</v>
      </c>
      <c r="K39" s="105">
        <f t="shared" si="2"/>
        <v>163.56235287627112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</row>
    <row r="40" spans="2:23" x14ac:dyDescent="0.3">
      <c r="B40" s="104" t="s">
        <v>11</v>
      </c>
      <c r="C40" s="75">
        <v>170</v>
      </c>
      <c r="D40" s="75" t="s">
        <v>10</v>
      </c>
      <c r="E40" s="75">
        <v>0.5</v>
      </c>
      <c r="F40" s="75">
        <v>2</v>
      </c>
      <c r="G40" s="75">
        <v>12.778499999994184</v>
      </c>
      <c r="H40" s="75">
        <v>247.45169999999919</v>
      </c>
      <c r="I40" s="75">
        <f t="shared" si="5"/>
        <v>261.60145199988096</v>
      </c>
      <c r="J40" s="75">
        <f t="shared" si="1"/>
        <v>78.602304705882105</v>
      </c>
      <c r="K40" s="105">
        <f t="shared" si="2"/>
        <v>83.096931811726904</v>
      </c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</row>
    <row r="41" spans="2:23" x14ac:dyDescent="0.3">
      <c r="B41" s="104" t="s">
        <v>8</v>
      </c>
      <c r="C41" s="75">
        <v>170</v>
      </c>
      <c r="D41" s="75" t="s">
        <v>10</v>
      </c>
      <c r="E41" s="75">
        <v>0.5</v>
      </c>
      <c r="F41" s="75">
        <v>1</v>
      </c>
      <c r="G41" s="75">
        <v>8.0972999999946342</v>
      </c>
      <c r="H41" s="75">
        <v>166.90619999999905</v>
      </c>
      <c r="I41" s="75">
        <f t="shared" si="5"/>
        <v>165.76792559989016</v>
      </c>
      <c r="J41" s="75">
        <f t="shared" si="1"/>
        <v>53.017263529411473</v>
      </c>
      <c r="K41" s="105">
        <f t="shared" si="2"/>
        <v>52.655694014082762</v>
      </c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</row>
    <row r="42" spans="2:23" x14ac:dyDescent="0.3">
      <c r="B42" s="104" t="s">
        <v>12</v>
      </c>
      <c r="C42" s="75">
        <v>170</v>
      </c>
      <c r="D42" s="75" t="s">
        <v>9</v>
      </c>
      <c r="E42" s="75">
        <v>0.5</v>
      </c>
      <c r="F42" s="75">
        <v>1</v>
      </c>
      <c r="G42" s="75">
        <v>14.747651848983457</v>
      </c>
      <c r="H42" s="75">
        <v>292.5854325259931</v>
      </c>
      <c r="I42" s="75">
        <f t="shared" si="5"/>
        <v>301.91392865238936</v>
      </c>
      <c r="J42" s="75">
        <f t="shared" si="1"/>
        <v>92.93890209649193</v>
      </c>
      <c r="K42" s="105">
        <f t="shared" si="2"/>
        <v>95.902071454288389</v>
      </c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spans="2:23" x14ac:dyDescent="0.3">
      <c r="B43" s="104" t="s">
        <v>12</v>
      </c>
      <c r="C43" s="75">
        <v>170</v>
      </c>
      <c r="D43" s="75" t="s">
        <v>10</v>
      </c>
      <c r="E43" s="75">
        <v>1</v>
      </c>
      <c r="F43" s="75">
        <v>2</v>
      </c>
      <c r="G43" s="75">
        <v>11.275199999993378</v>
      </c>
      <c r="H43" s="75">
        <v>242.68199999999436</v>
      </c>
      <c r="I43" s="75">
        <f t="shared" si="5"/>
        <v>230.82589439986444</v>
      </c>
      <c r="J43" s="75">
        <f t="shared" si="1"/>
        <v>77.087223529409982</v>
      </c>
      <c r="K43" s="105">
        <f t="shared" si="2"/>
        <v>73.321166456427534</v>
      </c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 spans="2:23" x14ac:dyDescent="0.3">
      <c r="B44" s="104" t="s">
        <v>37</v>
      </c>
      <c r="C44" s="75">
        <v>170</v>
      </c>
      <c r="D44" s="75" t="s">
        <v>9</v>
      </c>
      <c r="E44" s="75">
        <v>0.5</v>
      </c>
      <c r="F44" s="75">
        <v>2</v>
      </c>
      <c r="G44" s="75">
        <v>18.948021681361006</v>
      </c>
      <c r="H44" s="75">
        <v>412.3936411407775</v>
      </c>
      <c r="I44" s="75">
        <f t="shared" si="5"/>
        <v>387.90389986082255</v>
      </c>
      <c r="J44" s="75">
        <f t="shared" si="1"/>
        <v>83.719009855646561</v>
      </c>
      <c r="K44" s="105">
        <f t="shared" si="2"/>
        <v>78.747408242422622</v>
      </c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</row>
    <row r="45" spans="2:23" x14ac:dyDescent="0.3">
      <c r="B45" s="104" t="s">
        <v>8</v>
      </c>
      <c r="C45" s="75">
        <v>170</v>
      </c>
      <c r="D45" s="75" t="s">
        <v>9</v>
      </c>
      <c r="E45" s="75">
        <v>1</v>
      </c>
      <c r="F45" s="75">
        <v>3</v>
      </c>
      <c r="G45" s="75">
        <v>11.346010588618963</v>
      </c>
      <c r="H45" s="75">
        <v>205.62869365733505</v>
      </c>
      <c r="I45" s="75">
        <f t="shared" si="5"/>
        <v>232.27552877020742</v>
      </c>
      <c r="J45" s="75">
        <f t="shared" si="1"/>
        <v>65.317349749977026</v>
      </c>
      <c r="K45" s="105">
        <f t="shared" si="2"/>
        <v>73.781638550536485</v>
      </c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 spans="2:23" x14ac:dyDescent="0.3">
      <c r="B46" s="104" t="s">
        <v>8</v>
      </c>
      <c r="C46" s="75">
        <v>170</v>
      </c>
      <c r="D46" s="75" t="s">
        <v>9</v>
      </c>
      <c r="E46" s="75">
        <v>1</v>
      </c>
      <c r="F46" s="75">
        <v>2</v>
      </c>
      <c r="G46" s="75">
        <v>9.2355319538814236</v>
      </c>
      <c r="H46" s="75">
        <v>177.19746032724149</v>
      </c>
      <c r="I46" s="75">
        <f t="shared" si="5"/>
        <v>189.06981015986051</v>
      </c>
      <c r="J46" s="75">
        <f t="shared" si="1"/>
        <v>56.286252103947298</v>
      </c>
      <c r="K46" s="105">
        <f t="shared" si="2"/>
        <v>60.057469109602749</v>
      </c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</row>
    <row r="47" spans="2:23" x14ac:dyDescent="0.3">
      <c r="B47" s="104" t="s">
        <v>8</v>
      </c>
      <c r="C47" s="75">
        <v>170</v>
      </c>
      <c r="D47" s="75" t="s">
        <v>10</v>
      </c>
      <c r="E47" s="75">
        <v>0.5</v>
      </c>
      <c r="F47" s="75">
        <v>3</v>
      </c>
      <c r="G47" s="75">
        <v>6.6891725519443366</v>
      </c>
      <c r="H47" s="75">
        <v>134.90327528622092</v>
      </c>
      <c r="I47" s="75">
        <f t="shared" si="5"/>
        <v>136.94074048340445</v>
      </c>
      <c r="J47" s="75">
        <f t="shared" si="1"/>
        <v>42.851628620329002</v>
      </c>
      <c r="K47" s="105">
        <f t="shared" si="2"/>
        <v>43.498823447669658</v>
      </c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</row>
    <row r="48" spans="2:23" x14ac:dyDescent="0.3">
      <c r="B48" s="104" t="s">
        <v>37</v>
      </c>
      <c r="C48" s="75">
        <v>170</v>
      </c>
      <c r="D48" s="75" t="s">
        <v>10</v>
      </c>
      <c r="E48" s="75">
        <v>0.5</v>
      </c>
      <c r="F48" s="75">
        <v>2</v>
      </c>
      <c r="G48" s="75">
        <v>14.901658243472077</v>
      </c>
      <c r="H48" s="75">
        <v>299.1960258608637</v>
      </c>
      <c r="I48" s="75">
        <f t="shared" si="5"/>
        <v>305.0667475603604</v>
      </c>
      <c r="J48" s="75">
        <f t="shared" si="1"/>
        <v>60.73904284393474</v>
      </c>
      <c r="K48" s="105">
        <f t="shared" si="2"/>
        <v>61.930843489697217</v>
      </c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</row>
    <row r="49" spans="2:23" x14ac:dyDescent="0.3">
      <c r="B49" s="106" t="s">
        <v>8</v>
      </c>
      <c r="C49" s="78">
        <v>170</v>
      </c>
      <c r="D49" s="78" t="s">
        <v>10</v>
      </c>
      <c r="E49" s="78">
        <v>1</v>
      </c>
      <c r="F49" s="78">
        <v>1</v>
      </c>
      <c r="G49" s="78">
        <v>7.7868000000008877</v>
      </c>
      <c r="H49" s="78">
        <v>134.81040000000056</v>
      </c>
      <c r="I49" s="78">
        <f t="shared" si="5"/>
        <v>159.41136960001819</v>
      </c>
      <c r="J49" s="78">
        <f t="shared" si="1"/>
        <v>42.82212705882371</v>
      </c>
      <c r="K49" s="107">
        <f t="shared" si="2"/>
        <v>50.636552696476365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</row>
    <row r="50" spans="2:23" x14ac:dyDescent="0.3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</row>
    <row r="51" spans="2:23" x14ac:dyDescent="0.3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</row>
  </sheetData>
  <mergeCells count="4">
    <mergeCell ref="B3:B4"/>
    <mergeCell ref="B6:K6"/>
    <mergeCell ref="M6:V6"/>
    <mergeCell ref="U28:V28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1F54E860E68B46A09EB449802097B7" ma:contentTypeVersion="38" ma:contentTypeDescription="Crear nuevo documento." ma:contentTypeScope="" ma:versionID="8f29de686da16b0b73d3f27366b9eb35">
  <xsd:schema xmlns:xsd="http://www.w3.org/2001/XMLSchema" xmlns:xs="http://www.w3.org/2001/XMLSchema" xmlns:p="http://schemas.microsoft.com/office/2006/metadata/properties" xmlns:ns2="1cb65d5d-d283-4057-a24c-202097149a94" xmlns:ns3="90190260-e19a-4ce4-8e8c-6e9230bff75b" targetNamespace="http://schemas.microsoft.com/office/2006/metadata/properties" ma:root="true" ma:fieldsID="eb496131d641e5c090f52909948f9284" ns2:_="" ns3:_="">
    <xsd:import namespace="1cb65d5d-d283-4057-a24c-202097149a94"/>
    <xsd:import namespace="90190260-e19a-4ce4-8e8c-6e9230bff75b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65d5d-d283-4057-a24c-202097149a94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9" nillable="true" ma:taxonomy="true" ma:internalName="lcf76f155ced4ddcb4097134ff3c332f" ma:taxonomyFieldName="MediaServiceImageTags" ma:displayName="Etiquetas de imagen" ma:readOnly="false" ma:fieldId="{5cf76f15-5ced-4ddc-b409-7134ff3c332f}" ma:taxonomyMulti="true" ma:sspId="efd49586-4e9d-4401-97cc-84a6e35ca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90260-e19a-4ce4-8e8c-6e9230bff75b" elementFormDefault="qualified">
    <xsd:import namespace="http://schemas.microsoft.com/office/2006/documentManagement/types"/>
    <xsd:import namespace="http://schemas.microsoft.com/office/infopath/2007/PartnerControls"/>
    <xsd:element name="TaxCatchAll" ma:index="40" nillable="true" ma:displayName="Taxonomy Catch All Column" ma:hidden="true" ma:list="{4692ae24-0746-4a7f-a88f-43fbe6ed548d}" ma:internalName="TaxCatchAll" ma:showField="CatchAllData" ma:web="90190260-e19a-4ce4-8e8c-6e9230bff7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4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D4D391CF-6DFA-4297-8776-7972B17DE9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9A4EB-34D9-46D5-AB02-EA55BD71F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65d5d-d283-4057-a24c-202097149a94"/>
    <ds:schemaRef ds:uri="90190260-e19a-4ce4-8e8c-6e9230bff7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57D5EC-5657-42FA-8060-4E332C4843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30</vt:i4>
      </vt:variant>
    </vt:vector>
  </HeadingPairs>
  <TitlesOfParts>
    <vt:vector size="43" baseType="lpstr">
      <vt:lpstr>Experimental data - 1 ºCh</vt:lpstr>
      <vt:lpstr>Experimental data - 0.5 ºCh</vt:lpstr>
      <vt:lpstr>Phase change delimitation</vt:lpstr>
      <vt:lpstr>Trial 1 (dataset 1)</vt:lpstr>
      <vt:lpstr>Trial 2 (dataset 1)</vt:lpstr>
      <vt:lpstr>Trial 3 (dataset 1)</vt:lpstr>
      <vt:lpstr>Effect m and L</vt:lpstr>
      <vt:lpstr>All Data (dataset 2)</vt:lpstr>
      <vt:lpstr>Solidification (dataset 3)</vt:lpstr>
      <vt:lpstr>Melting (dataset 4)</vt:lpstr>
      <vt:lpstr>1 ºCh (dataset 5)</vt:lpstr>
      <vt:lpstr>0.5 ºCh (dataset 6)</vt:lpstr>
      <vt:lpstr>Latent heat prediction</vt:lpstr>
      <vt:lpstr>'Latent heat prediction'!m_PCM_10</vt:lpstr>
      <vt:lpstr>'Latent heat prediction'!m_PCM_15</vt:lpstr>
      <vt:lpstr>'0.5 ºCh (dataset 6)'!n_T</vt:lpstr>
      <vt:lpstr>'1 ºCh (dataset 5)'!n_T</vt:lpstr>
      <vt:lpstr>'All Data (dataset 2)'!n_T</vt:lpstr>
      <vt:lpstr>'Effect m and L'!n_T</vt:lpstr>
      <vt:lpstr>'Melting (dataset 4)'!n_T</vt:lpstr>
      <vt:lpstr>'Solidification (dataset 3)'!n_T</vt:lpstr>
      <vt:lpstr>'Trial 1 (dataset 1)'!n_T</vt:lpstr>
      <vt:lpstr>'Trial 2 (dataset 1)'!n_T</vt:lpstr>
      <vt:lpstr>'Trial 3 (dataset 1)'!n_T</vt:lpstr>
      <vt:lpstr>'Latent heat prediction'!S_PCM</vt:lpstr>
      <vt:lpstr>'0.5 ºCh (dataset 6)'!Training</vt:lpstr>
      <vt:lpstr>'1 ºCh (dataset 5)'!Training</vt:lpstr>
      <vt:lpstr>'All Data (dataset 2)'!Training</vt:lpstr>
      <vt:lpstr>'Effect m and L'!Training</vt:lpstr>
      <vt:lpstr>'Melting (dataset 4)'!Training</vt:lpstr>
      <vt:lpstr>'Solidification (dataset 3)'!Training</vt:lpstr>
      <vt:lpstr>'Trial 1 (dataset 1)'!Training</vt:lpstr>
      <vt:lpstr>'Trial 2 (dataset 1)'!Training</vt:lpstr>
      <vt:lpstr>'Trial 3 (dataset 1)'!Training</vt:lpstr>
      <vt:lpstr>'0.5 ºCh (dataset 6)'!Validation</vt:lpstr>
      <vt:lpstr>'1 ºCh (dataset 5)'!Validation</vt:lpstr>
      <vt:lpstr>'All Data (dataset 2)'!Validation</vt:lpstr>
      <vt:lpstr>'Effect m and L'!Validation</vt:lpstr>
      <vt:lpstr>'Melting (dataset 4)'!Validation</vt:lpstr>
      <vt:lpstr>'Solidification (dataset 3)'!Validation</vt:lpstr>
      <vt:lpstr>'Trial 1 (dataset 1)'!Validation</vt:lpstr>
      <vt:lpstr>'Trial 2 (dataset 1)'!Validation</vt:lpstr>
      <vt:lpstr>'Trial 3 (dataset 1)'!Validation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Matías Álvarez Rodríguez</dc:creator>
  <cp:lastModifiedBy>Matías Álvarez Rodríguez</cp:lastModifiedBy>
  <dcterms:created xsi:type="dcterms:W3CDTF">2015-06-05T18:19:34Z</dcterms:created>
  <dcterms:modified xsi:type="dcterms:W3CDTF">2024-12-19T16:56:51Z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2024-03-22T16:37:38Z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84e351d0-2680-4fb8-94c1-3d5b034b4970</vt:lpwstr>
  </property>
  <property fmtid="{D5CDD505-2E9C-101B-9397-08002B2CF9AE}" pid="8" name="MSIP_Label_4044bd30-2ed7-4c9d-9d12-46200872a97b_ContentBits">
    <vt:lpwstr>0</vt:lpwstr>
  </property>
</Properties>
</file>